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\ДОКУМЕНТЫ\ПИТАНИЕ столовая\2020-2021\меню\"/>
    </mc:Choice>
  </mc:AlternateContent>
  <bookViews>
    <workbookView xWindow="0" yWindow="0" windowWidth="21570" windowHeight="8145" activeTab="4"/>
  </bookViews>
  <sheets>
    <sheet name="19.05" sheetId="5" r:id="rId1"/>
    <sheet name="20.05" sheetId="2" r:id="rId2"/>
    <sheet name="21.05" sheetId="3" r:id="rId3"/>
    <sheet name="25.05" sheetId="6" r:id="rId4"/>
    <sheet name="26.05" sheetId="7" r:id="rId5"/>
  </sheets>
  <calcPr calcId="152511" iterateDelta="1E-4"/>
</workbook>
</file>

<file path=xl/calcChain.xml><?xml version="1.0" encoding="utf-8"?>
<calcChain xmlns="http://schemas.openxmlformats.org/spreadsheetml/2006/main">
  <c r="J39" i="7" l="1"/>
  <c r="I39" i="7"/>
  <c r="H39" i="7"/>
  <c r="J38" i="7"/>
  <c r="I38" i="7"/>
  <c r="H38" i="7"/>
  <c r="J36" i="7"/>
  <c r="I36" i="7"/>
  <c r="H36" i="7"/>
  <c r="J35" i="7"/>
  <c r="I35" i="7"/>
  <c r="H35" i="7"/>
  <c r="J33" i="7"/>
  <c r="I33" i="7"/>
  <c r="H33" i="7"/>
  <c r="J32" i="7"/>
  <c r="I32" i="7"/>
  <c r="H32" i="7"/>
  <c r="J31" i="7"/>
  <c r="I31" i="7"/>
  <c r="H31" i="7"/>
  <c r="J30" i="7"/>
  <c r="I30" i="7"/>
  <c r="H30" i="7"/>
  <c r="J29" i="7"/>
  <c r="I29" i="7"/>
  <c r="H29" i="7"/>
  <c r="J27" i="7"/>
  <c r="I27" i="7"/>
  <c r="H27" i="7"/>
  <c r="J26" i="7"/>
  <c r="I26" i="7"/>
  <c r="H26" i="7"/>
  <c r="J24" i="7"/>
  <c r="I24" i="7"/>
  <c r="H24" i="7"/>
  <c r="J22" i="7"/>
  <c r="I22" i="7"/>
  <c r="H22" i="7"/>
  <c r="J21" i="7"/>
  <c r="I21" i="7"/>
  <c r="H21" i="7"/>
  <c r="J20" i="7"/>
  <c r="I20" i="7"/>
  <c r="H20" i="7"/>
  <c r="J18" i="7"/>
  <c r="I18" i="7"/>
  <c r="H18" i="7"/>
  <c r="J15" i="7"/>
  <c r="I15" i="7"/>
  <c r="H15" i="7"/>
  <c r="J14" i="7"/>
  <c r="I14" i="7"/>
  <c r="H14" i="7"/>
  <c r="G14" i="7"/>
  <c r="J13" i="7"/>
  <c r="I13" i="7"/>
  <c r="H13" i="7"/>
  <c r="J12" i="7"/>
  <c r="I12" i="7"/>
  <c r="H12" i="7"/>
  <c r="J11" i="7"/>
  <c r="I11" i="7"/>
  <c r="H11" i="7"/>
  <c r="J9" i="7"/>
  <c r="I9" i="7"/>
  <c r="H9" i="7"/>
  <c r="J8" i="7"/>
  <c r="I8" i="7"/>
  <c r="H8" i="7"/>
  <c r="J6" i="7"/>
  <c r="I6" i="7"/>
  <c r="H6" i="7"/>
  <c r="J4" i="7"/>
  <c r="I4" i="7"/>
  <c r="H4" i="7"/>
  <c r="J35" i="6" l="1"/>
  <c r="I35" i="6"/>
  <c r="H35" i="6"/>
  <c r="J34" i="6"/>
  <c r="I34" i="6"/>
  <c r="H34" i="6"/>
  <c r="J32" i="6"/>
  <c r="I32" i="6"/>
  <c r="H32" i="6"/>
  <c r="J31" i="6"/>
  <c r="I31" i="6"/>
  <c r="H31" i="6"/>
  <c r="E30" i="6"/>
  <c r="J29" i="6"/>
  <c r="I29" i="6"/>
  <c r="H29" i="6"/>
  <c r="G29" i="6"/>
  <c r="J28" i="6"/>
  <c r="I28" i="6"/>
  <c r="H28" i="6"/>
  <c r="J25" i="6"/>
  <c r="I25" i="6"/>
  <c r="H25" i="6"/>
  <c r="J24" i="6"/>
  <c r="I24" i="6"/>
  <c r="H24" i="6"/>
  <c r="G24" i="6"/>
  <c r="J23" i="6"/>
  <c r="I23" i="6"/>
  <c r="H23" i="6"/>
  <c r="J22" i="6"/>
  <c r="I22" i="6"/>
  <c r="H22" i="6"/>
  <c r="J39" i="5" l="1"/>
  <c r="I39" i="5"/>
  <c r="H39" i="5"/>
  <c r="J38" i="5"/>
  <c r="I38" i="5"/>
  <c r="H38" i="5"/>
  <c r="J36" i="5"/>
  <c r="I36" i="5"/>
  <c r="H36" i="5"/>
  <c r="J34" i="5"/>
  <c r="I34" i="5"/>
  <c r="H34" i="5"/>
  <c r="J31" i="5"/>
  <c r="I31" i="5"/>
  <c r="H31" i="5"/>
  <c r="J30" i="5"/>
  <c r="I30" i="5"/>
  <c r="H30" i="5"/>
  <c r="J28" i="5"/>
  <c r="I28" i="5"/>
  <c r="H28" i="5"/>
  <c r="J27" i="5"/>
  <c r="I27" i="5"/>
  <c r="H27" i="5"/>
  <c r="J25" i="5"/>
  <c r="I25" i="5"/>
  <c r="H25" i="5"/>
  <c r="J24" i="5"/>
  <c r="I24" i="5"/>
  <c r="H24" i="5"/>
  <c r="J21" i="5"/>
  <c r="I21" i="5"/>
  <c r="H21" i="5"/>
  <c r="J20" i="5"/>
  <c r="I20" i="5"/>
  <c r="H20" i="5"/>
  <c r="J18" i="5"/>
  <c r="I18" i="5"/>
  <c r="H18" i="5"/>
  <c r="G18" i="5"/>
  <c r="J16" i="5"/>
  <c r="I16" i="5"/>
  <c r="H16" i="5"/>
  <c r="J14" i="5"/>
  <c r="I14" i="5"/>
  <c r="H14" i="5"/>
  <c r="J13" i="5"/>
  <c r="I13" i="5"/>
  <c r="H13" i="5"/>
  <c r="J12" i="5"/>
  <c r="I12" i="5"/>
  <c r="H12" i="5"/>
  <c r="J10" i="5"/>
  <c r="I10" i="5"/>
  <c r="H10" i="5"/>
  <c r="J9" i="5"/>
  <c r="I9" i="5"/>
  <c r="H9" i="5"/>
  <c r="J7" i="5"/>
  <c r="I7" i="5"/>
  <c r="H7" i="5"/>
  <c r="J6" i="5"/>
  <c r="I6" i="5"/>
  <c r="H6" i="5"/>
  <c r="J4" i="5"/>
  <c r="I4" i="5"/>
  <c r="H4" i="5"/>
  <c r="H4" i="3"/>
  <c r="I4" i="3"/>
  <c r="J4" i="3"/>
  <c r="H6" i="3"/>
  <c r="I6" i="3"/>
  <c r="J6" i="3"/>
  <c r="H7" i="3"/>
  <c r="I7" i="3"/>
  <c r="J7" i="3"/>
  <c r="H8" i="3"/>
  <c r="I8" i="3"/>
  <c r="J8" i="3"/>
  <c r="H11" i="3"/>
  <c r="I11" i="3"/>
  <c r="J11" i="3"/>
  <c r="H12" i="3"/>
  <c r="I12" i="3"/>
  <c r="J12" i="3"/>
  <c r="H14" i="3"/>
  <c r="I14" i="3"/>
  <c r="J14" i="3"/>
  <c r="H16" i="3"/>
  <c r="I16" i="3"/>
  <c r="J16" i="3"/>
  <c r="H17" i="3"/>
  <c r="I17" i="3"/>
  <c r="J17" i="3"/>
  <c r="H18" i="3"/>
  <c r="I18" i="3"/>
  <c r="J18" i="3"/>
  <c r="G20" i="3"/>
  <c r="H20" i="3"/>
  <c r="I20" i="3"/>
  <c r="J20" i="3"/>
  <c r="G21" i="3"/>
  <c r="H21" i="3"/>
  <c r="I21" i="3"/>
  <c r="J21" i="3"/>
  <c r="H22" i="3"/>
  <c r="I22" i="3"/>
  <c r="J22" i="3"/>
  <c r="H25" i="3"/>
  <c r="I25" i="3"/>
  <c r="J25" i="3"/>
  <c r="G26" i="3"/>
  <c r="H26" i="3"/>
  <c r="I26" i="3"/>
  <c r="J26" i="3"/>
  <c r="E28" i="3"/>
  <c r="H28" i="3"/>
  <c r="I28" i="3"/>
  <c r="J28" i="3"/>
  <c r="H30" i="3"/>
  <c r="I30" i="3"/>
  <c r="J30" i="3"/>
  <c r="H31" i="3"/>
  <c r="I31" i="3"/>
  <c r="J31" i="3"/>
  <c r="J26" i="2"/>
  <c r="I26" i="2"/>
  <c r="H26" i="2"/>
  <c r="G26" i="2"/>
  <c r="J25" i="2"/>
  <c r="I25" i="2"/>
  <c r="H25" i="2"/>
  <c r="G25" i="2"/>
  <c r="J11" i="2" l="1"/>
  <c r="I11" i="2"/>
  <c r="H11" i="2"/>
  <c r="G11" i="2"/>
  <c r="J10" i="2"/>
  <c r="I10" i="2"/>
  <c r="H10" i="2"/>
  <c r="G10" i="2"/>
  <c r="J33" i="2" l="1"/>
  <c r="I33" i="2"/>
  <c r="H33" i="2"/>
  <c r="J32" i="2"/>
  <c r="I32" i="2"/>
  <c r="H32" i="2"/>
  <c r="J29" i="2"/>
  <c r="I29" i="2"/>
  <c r="H29" i="2"/>
  <c r="J27" i="2"/>
  <c r="I27" i="2"/>
  <c r="H27" i="2"/>
  <c r="G27" i="2"/>
  <c r="J23" i="2"/>
  <c r="I23" i="2"/>
  <c r="H23" i="2"/>
  <c r="G23" i="2"/>
  <c r="J18" i="2" l="1"/>
  <c r="J17" i="2"/>
  <c r="I17" i="2"/>
  <c r="I18" i="2"/>
  <c r="H18" i="2"/>
  <c r="H17" i="2"/>
  <c r="J15" i="2"/>
  <c r="I15" i="2"/>
  <c r="H15" i="2"/>
  <c r="I12" i="2"/>
  <c r="H12" i="2"/>
  <c r="G12" i="2"/>
  <c r="J4" i="2"/>
  <c r="I4" i="2"/>
  <c r="H4" i="2"/>
  <c r="J12" i="2" l="1"/>
  <c r="J8" i="2"/>
  <c r="I8" i="2"/>
  <c r="H8" i="2"/>
  <c r="G8" i="2"/>
</calcChain>
</file>

<file path=xl/sharedStrings.xml><?xml version="1.0" encoding="utf-8"?>
<sst xmlns="http://schemas.openxmlformats.org/spreadsheetml/2006/main" count="449" uniqueCount="83">
  <si>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</si>
  <si>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</si>
  <si>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</si>
  <si>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</si>
  <si>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</si>
  <si>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</si>
  <si>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</si>
  <si>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</si>
  <si>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</si>
  <si>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</si>
  <si>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</si>
  <si>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</si>
  <si>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</si>
  <si>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</si>
  <si>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</si>
  <si>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</si>
  <si>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</si>
  <si>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</si>
  <si>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</si>
  <si>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</si>
  <si>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</si>
  <si>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</si>
  <si>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</si>
  <si>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</si>
  <si>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</si>
  <si>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</si>
  <si>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</si>
  <si>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Масло сливочное (порциями)</t>
  </si>
  <si>
    <t>Сыр (порциями)</t>
  </si>
  <si>
    <t>Икра морковная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</si>
  <si>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</si>
  <si>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</si>
  <si>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</si>
  <si>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</si>
  <si>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</si>
  <si>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</si>
  <si>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</si>
  <si>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</si>
  <si>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</si>
  <si>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</si>
  <si>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</si>
  <si>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</si>
  <si>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</si>
  <si>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</si>
  <si>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</si>
  <si>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</si>
  <si>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</si>
  <si>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</si>
  <si>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</si>
  <si>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6-10 лет</t>
  </si>
  <si>
    <t>11-18 лет</t>
  </si>
  <si>
    <t>Полдник</t>
  </si>
  <si>
    <t>Молоко кипяченое</t>
  </si>
  <si>
    <t>Булочка Дорожная</t>
  </si>
  <si>
    <t>Кисломолочный продукт Кефир</t>
  </si>
  <si>
    <t>Шанежка с картофелем</t>
  </si>
  <si>
    <t>Омлет натуральный</t>
  </si>
  <si>
    <t>Чай с лимоном</t>
  </si>
  <si>
    <t>Батон</t>
  </si>
  <si>
    <t>Вафли</t>
  </si>
  <si>
    <t>Чай с молоком сгущеным</t>
  </si>
  <si>
    <t>Лепешка с сыром</t>
  </si>
  <si>
    <t>Конфета</t>
  </si>
  <si>
    <t>Суп с рыбными консервами</t>
  </si>
  <si>
    <t>Котлета из мяса птицы</t>
  </si>
  <si>
    <t>Соус сметанный</t>
  </si>
  <si>
    <t>Каша гречневая рассыпчатая</t>
  </si>
  <si>
    <t>Компот из сухофруктов</t>
  </si>
  <si>
    <t>11 -18 лет</t>
  </si>
  <si>
    <t>Каша "Дружба"</t>
  </si>
  <si>
    <t>Какао с молоком</t>
  </si>
  <si>
    <t>Кисломолочный продукт Снежок</t>
  </si>
  <si>
    <t>Яблоко</t>
  </si>
  <si>
    <t>Суп картофельный с клецками и мясом птицы</t>
  </si>
  <si>
    <t>Тефтели</t>
  </si>
  <si>
    <t>Капуста тушеная</t>
  </si>
  <si>
    <t>МБОУ БСОШ №5</t>
  </si>
  <si>
    <t>Кофейный напиток с молоком</t>
  </si>
  <si>
    <t>Конфета "35"</t>
  </si>
  <si>
    <t>Яйцо вареное</t>
  </si>
  <si>
    <t>Икра свекольная</t>
  </si>
  <si>
    <t>Рассольник ленинградский со сметаной</t>
  </si>
  <si>
    <t xml:space="preserve">Мак.изделия отварные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</si>
</sst>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5" xfId="0" applyFill="1" applyBorder="1"/>
    <xf numFmtId="0" fontId="0" fillId="0" borderId="0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1" sqref="B1:D1"/>
    </sheetView>
  </sheetViews>
  <sheetFormatPr defaultColWidth="8.85546875"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8.8554687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8.85546875" style="28"/>
  </cols>
  <sheetData>
    <row r="1" spans="1:10" x14ac:dyDescent="0.25">
      <c r="A1" s="28" t="s">
        <v>0</v>
      </c>
      <c r="B1" s="65" t="s">
        <v>76</v>
      </c>
      <c r="C1" s="66"/>
      <c r="D1" s="67"/>
      <c r="E1" s="28" t="s">
        <v>19</v>
      </c>
      <c r="F1" s="12"/>
      <c r="I1" s="28" t="s">
        <v>1</v>
      </c>
      <c r="J1" s="11">
        <v>44335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18</v>
      </c>
      <c r="D4" s="48" t="s">
        <v>56</v>
      </c>
      <c r="E4" s="42">
        <v>200</v>
      </c>
      <c r="F4" s="45">
        <v>24.49</v>
      </c>
      <c r="G4" s="45">
        <v>314.33</v>
      </c>
      <c r="H4" s="45">
        <f>13.06*165/200</f>
        <v>10.7745</v>
      </c>
      <c r="I4" s="45">
        <f>18.57*165/200</f>
        <v>15.320250000000001</v>
      </c>
      <c r="J4" s="54">
        <f>36.51*165/200</f>
        <v>30.120749999999997</v>
      </c>
    </row>
    <row r="5" spans="1:10" x14ac:dyDescent="0.25">
      <c r="A5" s="40" t="s">
        <v>49</v>
      </c>
      <c r="B5" s="37" t="s">
        <v>12</v>
      </c>
      <c r="C5" s="52">
        <v>30</v>
      </c>
      <c r="D5" s="49" t="s">
        <v>57</v>
      </c>
      <c r="E5" s="43">
        <v>200</v>
      </c>
      <c r="F5" s="46">
        <v>2.91</v>
      </c>
      <c r="G5" s="46">
        <v>65</v>
      </c>
      <c r="H5" s="46">
        <v>0.2</v>
      </c>
      <c r="I5" s="46">
        <v>0</v>
      </c>
      <c r="J5" s="55">
        <v>16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23</v>
      </c>
      <c r="F6" s="46">
        <v>0.95</v>
      </c>
      <c r="G6" s="46">
        <v>46</v>
      </c>
      <c r="H6" s="46">
        <f>0.98*23/20</f>
        <v>1.127</v>
      </c>
      <c r="I6" s="46">
        <f>0.2*23/20</f>
        <v>0.23000000000000004</v>
      </c>
      <c r="J6" s="55">
        <f>8.95*23/20</f>
        <v>10.2925</v>
      </c>
    </row>
    <row r="7" spans="1:10" x14ac:dyDescent="0.25">
      <c r="A7" s="40"/>
      <c r="B7" s="29"/>
      <c r="C7" s="52" t="s">
        <v>24</v>
      </c>
      <c r="D7" s="49" t="s">
        <v>58</v>
      </c>
      <c r="E7" s="43">
        <v>24</v>
      </c>
      <c r="F7" s="46">
        <v>1.82</v>
      </c>
      <c r="G7" s="46">
        <v>49.92</v>
      </c>
      <c r="H7" s="46">
        <f>1.6*24/20</f>
        <v>1.9200000000000004</v>
      </c>
      <c r="I7" s="46">
        <f>0.03*24/20</f>
        <v>3.5999999999999997E-2</v>
      </c>
      <c r="J7" s="55">
        <f>8.02*24/20</f>
        <v>9.6239999999999988</v>
      </c>
    </row>
    <row r="8" spans="1:10" x14ac:dyDescent="0.25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25">
      <c r="A9" s="58"/>
      <c r="B9" s="29"/>
      <c r="C9" s="52">
        <v>6</v>
      </c>
      <c r="D9" s="49" t="s">
        <v>28</v>
      </c>
      <c r="E9" s="43">
        <v>12</v>
      </c>
      <c r="F9" s="46">
        <v>7.3</v>
      </c>
      <c r="G9" s="46">
        <v>36</v>
      </c>
      <c r="H9" s="46">
        <f>1.36*12/12</f>
        <v>1.36</v>
      </c>
      <c r="I9" s="46">
        <f>2.76*12/12</f>
        <v>2.76</v>
      </c>
      <c r="J9" s="46">
        <f>0.31*12/12</f>
        <v>0.31</v>
      </c>
    </row>
    <row r="10" spans="1:10" ht="15.75" thickBot="1" x14ac:dyDescent="0.3">
      <c r="A10" s="40"/>
      <c r="B10" s="29"/>
      <c r="C10" s="52" t="s">
        <v>24</v>
      </c>
      <c r="D10" s="49" t="s">
        <v>59</v>
      </c>
      <c r="E10" s="43">
        <v>20</v>
      </c>
      <c r="F10" s="46">
        <v>4.09</v>
      </c>
      <c r="G10" s="46">
        <v>63.56</v>
      </c>
      <c r="H10" s="46">
        <f>2.14*20/40</f>
        <v>1.07</v>
      </c>
      <c r="I10" s="46">
        <f>2.8*20/40</f>
        <v>1.4</v>
      </c>
      <c r="J10" s="46">
        <f>23.34*20/40</f>
        <v>11.67</v>
      </c>
    </row>
    <row r="11" spans="1:10" x14ac:dyDescent="0.25">
      <c r="A11" s="38" t="s">
        <v>51</v>
      </c>
      <c r="B11" s="57"/>
      <c r="C11" s="51">
        <v>75</v>
      </c>
      <c r="D11" s="48" t="s">
        <v>60</v>
      </c>
      <c r="E11" s="42">
        <v>200</v>
      </c>
      <c r="F11" s="45">
        <v>7.81</v>
      </c>
      <c r="G11" s="45">
        <v>138</v>
      </c>
      <c r="H11" s="45">
        <v>2.74</v>
      </c>
      <c r="I11" s="45">
        <v>3.23</v>
      </c>
      <c r="J11" s="54">
        <v>24.11</v>
      </c>
    </row>
    <row r="12" spans="1:10" x14ac:dyDescent="0.25">
      <c r="A12" s="40" t="s">
        <v>49</v>
      </c>
      <c r="B12" s="29"/>
      <c r="C12" s="52">
        <v>62</v>
      </c>
      <c r="D12" s="49" t="s">
        <v>61</v>
      </c>
      <c r="E12" s="43">
        <v>110</v>
      </c>
      <c r="F12" s="46">
        <v>19.809999999999999</v>
      </c>
      <c r="G12" s="46">
        <v>299.02</v>
      </c>
      <c r="H12" s="46">
        <f>10.49*1.1</f>
        <v>11.539000000000001</v>
      </c>
      <c r="I12" s="46">
        <f>11.32*1.1</f>
        <v>12.452000000000002</v>
      </c>
      <c r="J12" s="55">
        <f>32*1.1</f>
        <v>35.200000000000003</v>
      </c>
    </row>
    <row r="13" spans="1:10" ht="15.75" thickBot="1" x14ac:dyDescent="0.3">
      <c r="A13" s="41"/>
      <c r="B13" s="36"/>
      <c r="C13" s="53" t="s">
        <v>24</v>
      </c>
      <c r="D13" s="50" t="s">
        <v>62</v>
      </c>
      <c r="E13" s="44">
        <v>25</v>
      </c>
      <c r="F13" s="47">
        <v>8.82</v>
      </c>
      <c r="G13" s="47">
        <v>79.45</v>
      </c>
      <c r="H13" s="46">
        <f>2.14*25/40</f>
        <v>1.3374999999999999</v>
      </c>
      <c r="I13" s="46">
        <f>2.8*25/40</f>
        <v>1.75</v>
      </c>
      <c r="J13" s="46">
        <f>23.34*25/40</f>
        <v>14.5875</v>
      </c>
    </row>
    <row r="14" spans="1:10" x14ac:dyDescent="0.25">
      <c r="A14" s="40" t="s">
        <v>13</v>
      </c>
      <c r="B14" s="59" t="s">
        <v>14</v>
      </c>
      <c r="C14" s="60">
        <v>59</v>
      </c>
      <c r="D14" s="61" t="s">
        <v>29</v>
      </c>
      <c r="E14" s="62">
        <v>40</v>
      </c>
      <c r="F14" s="63">
        <v>3.48</v>
      </c>
      <c r="G14" s="63">
        <v>50</v>
      </c>
      <c r="H14" s="63">
        <f>1.26*40/60</f>
        <v>0.84</v>
      </c>
      <c r="I14" s="63">
        <f>4.08*40/60</f>
        <v>2.7199999999999998</v>
      </c>
      <c r="J14" s="64">
        <f>8.28*40/60</f>
        <v>5.52</v>
      </c>
    </row>
    <row r="15" spans="1:10" x14ac:dyDescent="0.25">
      <c r="A15" s="40" t="s">
        <v>49</v>
      </c>
      <c r="B15" s="37" t="s">
        <v>15</v>
      </c>
      <c r="C15" s="52">
        <v>60</v>
      </c>
      <c r="D15" s="49" t="s">
        <v>63</v>
      </c>
      <c r="E15" s="43">
        <v>200</v>
      </c>
      <c r="F15" s="46">
        <v>16.36</v>
      </c>
      <c r="G15" s="46">
        <v>110.4</v>
      </c>
      <c r="H15" s="46">
        <v>6.78</v>
      </c>
      <c r="I15" s="46">
        <v>3.06</v>
      </c>
      <c r="J15" s="55">
        <v>11.06</v>
      </c>
    </row>
    <row r="16" spans="1:10" x14ac:dyDescent="0.25">
      <c r="A16" s="40"/>
      <c r="B16" s="37" t="s">
        <v>16</v>
      </c>
      <c r="C16" s="52">
        <v>14</v>
      </c>
      <c r="D16" s="49" t="s">
        <v>64</v>
      </c>
      <c r="E16" s="43">
        <v>90</v>
      </c>
      <c r="F16" s="46">
        <v>29.63</v>
      </c>
      <c r="G16" s="46">
        <v>214.2</v>
      </c>
      <c r="H16" s="46">
        <f>13.62*90/90</f>
        <v>13.62</v>
      </c>
      <c r="I16" s="46">
        <f>12.68*90/90</f>
        <v>12.68</v>
      </c>
      <c r="J16" s="55">
        <f>7.61*90/90</f>
        <v>7.6099999999999994</v>
      </c>
    </row>
    <row r="17" spans="1:10" x14ac:dyDescent="0.25">
      <c r="A17" s="40"/>
      <c r="B17" s="37"/>
      <c r="C17" s="52">
        <v>42</v>
      </c>
      <c r="D17" s="49" t="s">
        <v>65</v>
      </c>
      <c r="E17" s="43">
        <v>20</v>
      </c>
      <c r="F17" s="46">
        <v>3.09</v>
      </c>
      <c r="G17" s="46">
        <v>23.06</v>
      </c>
      <c r="H17" s="46">
        <v>0.31</v>
      </c>
      <c r="I17" s="46">
        <v>2.13</v>
      </c>
      <c r="J17" s="55">
        <v>0.68</v>
      </c>
    </row>
    <row r="18" spans="1:10" x14ac:dyDescent="0.25">
      <c r="A18" s="40"/>
      <c r="B18" s="37" t="s">
        <v>17</v>
      </c>
      <c r="C18" s="52">
        <v>24</v>
      </c>
      <c r="D18" s="49" t="s">
        <v>66</v>
      </c>
      <c r="E18" s="43">
        <v>150</v>
      </c>
      <c r="F18" s="46">
        <v>13.95</v>
      </c>
      <c r="G18" s="46">
        <f>361.13*150/180</f>
        <v>300.94166666666666</v>
      </c>
      <c r="H18" s="46">
        <f>62.8*150/150</f>
        <v>62.8</v>
      </c>
      <c r="I18" s="46">
        <f>9.94*150/150</f>
        <v>9.94</v>
      </c>
      <c r="J18" s="55">
        <f>46.69*150/150</f>
        <v>46.69</v>
      </c>
    </row>
    <row r="19" spans="1:10" x14ac:dyDescent="0.25">
      <c r="A19" s="40"/>
      <c r="B19" s="37" t="s">
        <v>30</v>
      </c>
      <c r="C19" s="52">
        <v>17</v>
      </c>
      <c r="D19" s="49" t="s">
        <v>67</v>
      </c>
      <c r="E19" s="43">
        <v>200</v>
      </c>
      <c r="F19" s="46">
        <v>3.49</v>
      </c>
      <c r="G19" s="46">
        <v>141.4</v>
      </c>
      <c r="H19" s="46">
        <v>0.08</v>
      </c>
      <c r="I19" s="46">
        <v>0</v>
      </c>
      <c r="J19" s="55">
        <v>35</v>
      </c>
    </row>
    <row r="20" spans="1:10" x14ac:dyDescent="0.25">
      <c r="A20" s="40"/>
      <c r="B20" s="37" t="s">
        <v>21</v>
      </c>
      <c r="C20" s="52" t="s">
        <v>24</v>
      </c>
      <c r="D20" s="49" t="s">
        <v>31</v>
      </c>
      <c r="E20" s="43">
        <v>31</v>
      </c>
      <c r="F20" s="46">
        <v>1.25</v>
      </c>
      <c r="G20" s="46">
        <v>62</v>
      </c>
      <c r="H20" s="46">
        <f>2.4*31/30</f>
        <v>2.4799999999999995</v>
      </c>
      <c r="I20" s="46">
        <f>0.45*31/30</f>
        <v>0.46500000000000002</v>
      </c>
      <c r="J20" s="55">
        <f>11.37*31/30</f>
        <v>11.748999999999999</v>
      </c>
    </row>
    <row r="21" spans="1:10" ht="15.75" thickBot="1" x14ac:dyDescent="0.3">
      <c r="A21" s="40"/>
      <c r="B21" s="37" t="s">
        <v>18</v>
      </c>
      <c r="C21" s="52" t="s">
        <v>24</v>
      </c>
      <c r="D21" s="49" t="s">
        <v>25</v>
      </c>
      <c r="E21" s="43">
        <v>31</v>
      </c>
      <c r="F21" s="46">
        <v>1.65</v>
      </c>
      <c r="G21" s="46">
        <v>64.48</v>
      </c>
      <c r="H21" s="46">
        <f>1.47*31/30</f>
        <v>1.5189999999999999</v>
      </c>
      <c r="I21" s="46">
        <f>0.3*31/30</f>
        <v>0.30999999999999994</v>
      </c>
      <c r="J21" s="55">
        <f>13.44*31/30</f>
        <v>13.888</v>
      </c>
    </row>
    <row r="22" spans="1:10" x14ac:dyDescent="0.25">
      <c r="A22" s="38" t="s">
        <v>10</v>
      </c>
      <c r="B22" s="39" t="s">
        <v>11</v>
      </c>
      <c r="C22" s="51">
        <v>18</v>
      </c>
      <c r="D22" s="48" t="s">
        <v>56</v>
      </c>
      <c r="E22" s="42">
        <v>200</v>
      </c>
      <c r="F22" s="45">
        <v>29.69</v>
      </c>
      <c r="G22" s="45">
        <v>381</v>
      </c>
      <c r="H22" s="45">
        <v>13.06</v>
      </c>
      <c r="I22" s="45">
        <v>18.57</v>
      </c>
      <c r="J22" s="54">
        <v>36.51</v>
      </c>
    </row>
    <row r="23" spans="1:10" x14ac:dyDescent="0.25">
      <c r="A23" s="40" t="s">
        <v>68</v>
      </c>
      <c r="B23" s="37" t="s">
        <v>12</v>
      </c>
      <c r="C23" s="52">
        <v>30</v>
      </c>
      <c r="D23" s="49" t="s">
        <v>57</v>
      </c>
      <c r="E23" s="43">
        <v>200</v>
      </c>
      <c r="F23" s="46">
        <v>2.91</v>
      </c>
      <c r="G23" s="46">
        <v>65</v>
      </c>
      <c r="H23" s="46">
        <v>0.2</v>
      </c>
      <c r="I23" s="46">
        <v>0</v>
      </c>
      <c r="J23" s="55">
        <v>16</v>
      </c>
    </row>
    <row r="24" spans="1:10" x14ac:dyDescent="0.25">
      <c r="A24" s="40"/>
      <c r="B24" s="37" t="s">
        <v>20</v>
      </c>
      <c r="C24" s="52" t="s">
        <v>24</v>
      </c>
      <c r="D24" s="49" t="s">
        <v>25</v>
      </c>
      <c r="E24" s="43">
        <v>31</v>
      </c>
      <c r="F24" s="46">
        <v>1.26</v>
      </c>
      <c r="G24" s="46">
        <v>62</v>
      </c>
      <c r="H24" s="46">
        <f>0.98*31/20</f>
        <v>1.5189999999999999</v>
      </c>
      <c r="I24" s="46">
        <f>0.2*31/20</f>
        <v>0.31</v>
      </c>
      <c r="J24" s="55">
        <f>8.95*31/20</f>
        <v>13.872499999999999</v>
      </c>
    </row>
    <row r="25" spans="1:10" x14ac:dyDescent="0.25">
      <c r="A25" s="40"/>
      <c r="B25" s="29"/>
      <c r="C25" s="52" t="s">
        <v>24</v>
      </c>
      <c r="D25" s="49" t="s">
        <v>58</v>
      </c>
      <c r="E25" s="43">
        <v>32</v>
      </c>
      <c r="F25" s="46">
        <v>2.52</v>
      </c>
      <c r="G25" s="46">
        <v>66.56</v>
      </c>
      <c r="H25" s="46">
        <f>1.6*32/20</f>
        <v>2.56</v>
      </c>
      <c r="I25" s="46">
        <f>0.03*32/20</f>
        <v>4.8000000000000001E-2</v>
      </c>
      <c r="J25" s="55">
        <f>8.02*32/20</f>
        <v>12.831999999999999</v>
      </c>
    </row>
    <row r="26" spans="1:10" x14ac:dyDescent="0.25">
      <c r="A26" s="40"/>
      <c r="B26" s="30" t="s">
        <v>26</v>
      </c>
      <c r="C26" s="34">
        <v>3</v>
      </c>
      <c r="D26" s="33" t="s">
        <v>27</v>
      </c>
      <c r="E26" s="31">
        <v>10</v>
      </c>
      <c r="F26" s="32">
        <v>7.04</v>
      </c>
      <c r="G26" s="32">
        <v>64.72</v>
      </c>
      <c r="H26" s="32">
        <v>0.08</v>
      </c>
      <c r="I26" s="32">
        <v>7.15</v>
      </c>
      <c r="J26" s="35">
        <v>0.12</v>
      </c>
    </row>
    <row r="27" spans="1:10" x14ac:dyDescent="0.25">
      <c r="A27" s="58"/>
      <c r="B27" s="29"/>
      <c r="C27" s="52">
        <v>6</v>
      </c>
      <c r="D27" s="49" t="s">
        <v>28</v>
      </c>
      <c r="E27" s="43">
        <v>15</v>
      </c>
      <c r="F27" s="46">
        <v>8.99</v>
      </c>
      <c r="G27" s="46">
        <v>45</v>
      </c>
      <c r="H27" s="46">
        <f>1.36*15/12</f>
        <v>1.7000000000000002</v>
      </c>
      <c r="I27" s="46">
        <f>2.76*15/12</f>
        <v>3.4499999999999997</v>
      </c>
      <c r="J27" s="46">
        <f>0.31*15/12</f>
        <v>0.38750000000000001</v>
      </c>
    </row>
    <row r="28" spans="1:10" ht="15.75" thickBot="1" x14ac:dyDescent="0.3">
      <c r="A28" s="40"/>
      <c r="B28" s="29"/>
      <c r="C28" s="52" t="s">
        <v>24</v>
      </c>
      <c r="D28" s="49" t="s">
        <v>59</v>
      </c>
      <c r="E28" s="43">
        <v>20</v>
      </c>
      <c r="F28" s="46">
        <v>4.09</v>
      </c>
      <c r="G28" s="46">
        <v>63.56</v>
      </c>
      <c r="H28" s="46">
        <f>2.14*20/40</f>
        <v>1.07</v>
      </c>
      <c r="I28" s="46">
        <f>2.8*20/40</f>
        <v>1.4</v>
      </c>
      <c r="J28" s="46">
        <f>23.34*20/40</f>
        <v>11.67</v>
      </c>
    </row>
    <row r="29" spans="1:10" x14ac:dyDescent="0.25">
      <c r="A29" s="38" t="s">
        <v>51</v>
      </c>
      <c r="B29" s="57"/>
      <c r="C29" s="51">
        <v>75</v>
      </c>
      <c r="D29" s="48" t="s">
        <v>60</v>
      </c>
      <c r="E29" s="42">
        <v>200</v>
      </c>
      <c r="F29" s="45">
        <v>7.81</v>
      </c>
      <c r="G29" s="45">
        <v>138</v>
      </c>
      <c r="H29" s="45">
        <v>2.74</v>
      </c>
      <c r="I29" s="45">
        <v>3.23</v>
      </c>
      <c r="J29" s="54">
        <v>24.11</v>
      </c>
    </row>
    <row r="30" spans="1:10" x14ac:dyDescent="0.25">
      <c r="A30" s="40" t="s">
        <v>68</v>
      </c>
      <c r="B30" s="29"/>
      <c r="C30" s="52">
        <v>62</v>
      </c>
      <c r="D30" s="49" t="s">
        <v>61</v>
      </c>
      <c r="E30" s="43">
        <v>140</v>
      </c>
      <c r="F30" s="46">
        <v>25.73</v>
      </c>
      <c r="G30" s="46">
        <v>380.58</v>
      </c>
      <c r="H30" s="46">
        <f>10.49*1.4</f>
        <v>14.686</v>
      </c>
      <c r="I30" s="46">
        <f>11.32*1.4</f>
        <v>15.847999999999999</v>
      </c>
      <c r="J30" s="55">
        <f>32*1.4</f>
        <v>44.8</v>
      </c>
    </row>
    <row r="31" spans="1:10" ht="15.75" thickBot="1" x14ac:dyDescent="0.3">
      <c r="A31" s="40"/>
      <c r="B31" s="30"/>
      <c r="C31" s="34" t="s">
        <v>24</v>
      </c>
      <c r="D31" s="33" t="s">
        <v>62</v>
      </c>
      <c r="E31" s="31">
        <v>25</v>
      </c>
      <c r="F31" s="32">
        <v>8.82</v>
      </c>
      <c r="G31" s="32">
        <v>79.45</v>
      </c>
      <c r="H31" s="32">
        <f>2.14*25/40</f>
        <v>1.3374999999999999</v>
      </c>
      <c r="I31" s="32">
        <f>2.8*25/40</f>
        <v>1.75</v>
      </c>
      <c r="J31" s="32">
        <f>23.34*25/40</f>
        <v>14.5875</v>
      </c>
    </row>
    <row r="32" spans="1:10" x14ac:dyDescent="0.25">
      <c r="A32" s="38" t="s">
        <v>13</v>
      </c>
      <c r="B32" s="39" t="s">
        <v>14</v>
      </c>
      <c r="C32" s="51">
        <v>59</v>
      </c>
      <c r="D32" s="48" t="s">
        <v>29</v>
      </c>
      <c r="E32" s="42">
        <v>60</v>
      </c>
      <c r="F32" s="45">
        <v>5.89</v>
      </c>
      <c r="G32" s="45">
        <v>75</v>
      </c>
      <c r="H32" s="45">
        <v>1.26</v>
      </c>
      <c r="I32" s="45">
        <v>4.08</v>
      </c>
      <c r="J32" s="54">
        <v>8.2799999999999994</v>
      </c>
    </row>
    <row r="33" spans="1:10" x14ac:dyDescent="0.25">
      <c r="A33" s="40" t="s">
        <v>68</v>
      </c>
      <c r="B33" s="37" t="s">
        <v>15</v>
      </c>
      <c r="C33" s="52">
        <v>60</v>
      </c>
      <c r="D33" s="49" t="s">
        <v>63</v>
      </c>
      <c r="E33" s="43">
        <v>200</v>
      </c>
      <c r="F33" s="46">
        <v>16.36</v>
      </c>
      <c r="G33" s="46">
        <v>110.4</v>
      </c>
      <c r="H33" s="46">
        <v>6.78</v>
      </c>
      <c r="I33" s="46">
        <v>3.06</v>
      </c>
      <c r="J33" s="55">
        <v>11.06</v>
      </c>
    </row>
    <row r="34" spans="1:10" x14ac:dyDescent="0.25">
      <c r="A34" s="40"/>
      <c r="B34" s="37" t="s">
        <v>16</v>
      </c>
      <c r="C34" s="52">
        <v>14</v>
      </c>
      <c r="D34" s="49" t="s">
        <v>64</v>
      </c>
      <c r="E34" s="43">
        <v>100</v>
      </c>
      <c r="F34" s="46">
        <v>35.35</v>
      </c>
      <c r="G34" s="46">
        <v>238</v>
      </c>
      <c r="H34" s="46">
        <f>13.62*100/90</f>
        <v>15.133333333333333</v>
      </c>
      <c r="I34" s="46">
        <f>12.68*100/90</f>
        <v>14.088888888888889</v>
      </c>
      <c r="J34" s="55">
        <f>7.61*100/90</f>
        <v>8.4555555555555557</v>
      </c>
    </row>
    <row r="35" spans="1:10" x14ac:dyDescent="0.25">
      <c r="A35" s="40"/>
      <c r="B35" s="37"/>
      <c r="C35" s="52">
        <v>42</v>
      </c>
      <c r="D35" s="49" t="s">
        <v>65</v>
      </c>
      <c r="E35" s="43">
        <v>20</v>
      </c>
      <c r="F35" s="46">
        <v>3.09</v>
      </c>
      <c r="G35" s="46">
        <v>23.06</v>
      </c>
      <c r="H35" s="46">
        <v>0.31</v>
      </c>
      <c r="I35" s="46">
        <v>2.13</v>
      </c>
      <c r="J35" s="55">
        <v>0.68</v>
      </c>
    </row>
    <row r="36" spans="1:10" x14ac:dyDescent="0.25">
      <c r="A36" s="40"/>
      <c r="B36" s="37" t="s">
        <v>17</v>
      </c>
      <c r="C36" s="52">
        <v>24</v>
      </c>
      <c r="D36" s="49" t="s">
        <v>66</v>
      </c>
      <c r="E36" s="43">
        <v>180</v>
      </c>
      <c r="F36" s="46">
        <v>16.829999999999998</v>
      </c>
      <c r="G36" s="46">
        <v>361.13</v>
      </c>
      <c r="H36" s="46">
        <f>62.8*180/150</f>
        <v>75.36</v>
      </c>
      <c r="I36" s="46">
        <f>9.94*180/150</f>
        <v>11.927999999999999</v>
      </c>
      <c r="J36" s="55">
        <f>46.69*180/150</f>
        <v>56.027999999999992</v>
      </c>
    </row>
    <row r="37" spans="1:10" x14ac:dyDescent="0.25">
      <c r="A37" s="40"/>
      <c r="B37" s="37" t="s">
        <v>30</v>
      </c>
      <c r="C37" s="52">
        <v>17</v>
      </c>
      <c r="D37" s="49" t="s">
        <v>67</v>
      </c>
      <c r="E37" s="43">
        <v>200</v>
      </c>
      <c r="F37" s="46">
        <v>3.49</v>
      </c>
      <c r="G37" s="46">
        <v>141.4</v>
      </c>
      <c r="H37" s="46">
        <v>0.08</v>
      </c>
      <c r="I37" s="46">
        <v>0</v>
      </c>
      <c r="J37" s="55">
        <v>35</v>
      </c>
    </row>
    <row r="38" spans="1:10" x14ac:dyDescent="0.25">
      <c r="A38" s="40"/>
      <c r="B38" s="37" t="s">
        <v>21</v>
      </c>
      <c r="C38" s="52" t="s">
        <v>24</v>
      </c>
      <c r="D38" s="49" t="s">
        <v>31</v>
      </c>
      <c r="E38" s="43">
        <v>40</v>
      </c>
      <c r="F38" s="46">
        <v>2.1</v>
      </c>
      <c r="G38" s="46">
        <v>83.2</v>
      </c>
      <c r="H38" s="46">
        <f>2.4*40/30</f>
        <v>3.2</v>
      </c>
      <c r="I38" s="46">
        <f>0.45*40/30</f>
        <v>0.6</v>
      </c>
      <c r="J38" s="55">
        <f>11.37*40/30</f>
        <v>15.159999999999998</v>
      </c>
    </row>
    <row r="39" spans="1:10" ht="15.75" thickBot="1" x14ac:dyDescent="0.3">
      <c r="A39" s="41"/>
      <c r="B39" s="27" t="s">
        <v>18</v>
      </c>
      <c r="C39" s="53" t="s">
        <v>24</v>
      </c>
      <c r="D39" s="50" t="s">
        <v>25</v>
      </c>
      <c r="E39" s="44">
        <v>39</v>
      </c>
      <c r="F39" s="47">
        <v>1.61</v>
      </c>
      <c r="G39" s="47">
        <v>78</v>
      </c>
      <c r="H39" s="47">
        <f>1.47*39/30</f>
        <v>1.911</v>
      </c>
      <c r="I39" s="47">
        <f>0.3*39/30</f>
        <v>0.38999999999999996</v>
      </c>
      <c r="J39" s="56">
        <f>13.44*39/30</f>
        <v>17.471999999999998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76</v>
      </c>
      <c r="C1" s="66"/>
      <c r="D1" s="67"/>
      <c r="E1" t="s">
        <v>19</v>
      </c>
      <c r="F1" s="12"/>
      <c r="I1" t="s">
        <v>1</v>
      </c>
      <c r="J1" s="11">
        <v>44336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72</v>
      </c>
      <c r="D4" s="48" t="s">
        <v>32</v>
      </c>
      <c r="E4" s="42">
        <v>160</v>
      </c>
      <c r="F4" s="45">
        <v>36.78</v>
      </c>
      <c r="G4" s="45">
        <v>249.6</v>
      </c>
      <c r="H4" s="45">
        <f>23.6*160/200</f>
        <v>18.88</v>
      </c>
      <c r="I4" s="45">
        <f>8.93*160/200</f>
        <v>7.1440000000000001</v>
      </c>
      <c r="J4" s="54">
        <f>34.27*160/200</f>
        <v>27.416000000000004</v>
      </c>
    </row>
    <row r="5" spans="1:10" x14ac:dyDescent="0.25">
      <c r="A5" s="40" t="s">
        <v>49</v>
      </c>
      <c r="B5" s="37" t="s">
        <v>12</v>
      </c>
      <c r="C5" s="52">
        <v>20</v>
      </c>
      <c r="D5" s="49" t="s">
        <v>33</v>
      </c>
      <c r="E5" s="43">
        <v>200</v>
      </c>
      <c r="F5" s="46">
        <v>4.57</v>
      </c>
      <c r="G5" s="46">
        <v>91</v>
      </c>
      <c r="H5" s="46">
        <v>1.4</v>
      </c>
      <c r="I5" s="46">
        <v>1.6</v>
      </c>
      <c r="J5" s="55">
        <v>17.7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22</v>
      </c>
      <c r="F6" s="46">
        <v>0.91</v>
      </c>
      <c r="G6" s="46">
        <v>60</v>
      </c>
      <c r="H6" s="46">
        <v>1.47</v>
      </c>
      <c r="I6" s="46">
        <v>0.3</v>
      </c>
      <c r="J6" s="55">
        <v>13.44</v>
      </c>
    </row>
    <row r="7" spans="1:10" x14ac:dyDescent="0.25">
      <c r="A7" s="40"/>
      <c r="B7" s="29"/>
      <c r="C7" s="52" t="s">
        <v>24</v>
      </c>
      <c r="D7" s="49" t="s">
        <v>31</v>
      </c>
      <c r="E7" s="43">
        <v>23</v>
      </c>
      <c r="F7" s="46">
        <v>1.21</v>
      </c>
      <c r="G7" s="46">
        <v>62.4</v>
      </c>
      <c r="H7" s="46">
        <v>2.4</v>
      </c>
      <c r="I7" s="46">
        <v>0.45</v>
      </c>
      <c r="J7" s="55">
        <v>11.37</v>
      </c>
    </row>
    <row r="8" spans="1:10" ht="15.75" thickBot="1" x14ac:dyDescent="0.3">
      <c r="A8" s="41"/>
      <c r="B8" s="36" t="s">
        <v>26</v>
      </c>
      <c r="C8" s="53" t="s">
        <v>24</v>
      </c>
      <c r="D8" s="50" t="s">
        <v>34</v>
      </c>
      <c r="E8" s="44">
        <v>34</v>
      </c>
      <c r="F8" s="47">
        <v>5.14</v>
      </c>
      <c r="G8" s="47">
        <f>190.76*34/60</f>
        <v>108.09733333333334</v>
      </c>
      <c r="H8" s="47">
        <f>3.22*34/60</f>
        <v>1.8246666666666667</v>
      </c>
      <c r="I8" s="47">
        <f>4.2*34/60</f>
        <v>2.3800000000000003</v>
      </c>
      <c r="J8" s="56">
        <f>35.02*34/60</f>
        <v>19.844666666666669</v>
      </c>
    </row>
    <row r="9" spans="1:10" s="28" customFormat="1" x14ac:dyDescent="0.25">
      <c r="A9" s="38" t="s">
        <v>51</v>
      </c>
      <c r="B9" s="57"/>
      <c r="C9" s="51">
        <v>8</v>
      </c>
      <c r="D9" s="48" t="s">
        <v>52</v>
      </c>
      <c r="E9" s="42">
        <v>200</v>
      </c>
      <c r="F9" s="45">
        <v>12.68</v>
      </c>
      <c r="G9" s="45">
        <v>108</v>
      </c>
      <c r="H9" s="45">
        <v>5.8</v>
      </c>
      <c r="I9" s="45">
        <v>5</v>
      </c>
      <c r="J9" s="54">
        <v>9.6</v>
      </c>
    </row>
    <row r="10" spans="1:10" s="28" customFormat="1" x14ac:dyDescent="0.25">
      <c r="A10" s="40"/>
      <c r="B10" s="29"/>
      <c r="C10" s="34" t="s">
        <v>24</v>
      </c>
      <c r="D10" s="33" t="s">
        <v>34</v>
      </c>
      <c r="E10" s="31">
        <v>34</v>
      </c>
      <c r="F10" s="32">
        <v>5.17</v>
      </c>
      <c r="G10" s="32">
        <f>190.76*34/60</f>
        <v>108.09733333333334</v>
      </c>
      <c r="H10" s="32">
        <f>3.22*34/60</f>
        <v>1.8246666666666667</v>
      </c>
      <c r="I10" s="32">
        <f>4.2*34/60</f>
        <v>2.3800000000000003</v>
      </c>
      <c r="J10" s="35">
        <f>35.02*34/60</f>
        <v>19.844666666666669</v>
      </c>
    </row>
    <row r="11" spans="1:10" s="28" customFormat="1" ht="15.75" thickBot="1" x14ac:dyDescent="0.3">
      <c r="A11" s="41"/>
      <c r="B11" s="36"/>
      <c r="C11" s="53">
        <v>67</v>
      </c>
      <c r="D11" s="50" t="s">
        <v>53</v>
      </c>
      <c r="E11" s="44">
        <v>100</v>
      </c>
      <c r="F11" s="47">
        <v>18.62</v>
      </c>
      <c r="G11" s="47">
        <f>376.67*100/100</f>
        <v>376.67</v>
      </c>
      <c r="H11" s="46">
        <f>7*100/100</f>
        <v>7</v>
      </c>
      <c r="I11" s="46">
        <f>13.83*100/100</f>
        <v>13.83</v>
      </c>
      <c r="J11" s="46">
        <f>55.83*100/100</f>
        <v>55.83</v>
      </c>
    </row>
    <row r="12" spans="1:10" x14ac:dyDescent="0.25">
      <c r="A12" s="38" t="s">
        <v>13</v>
      </c>
      <c r="B12" s="39" t="s">
        <v>14</v>
      </c>
      <c r="C12" s="51">
        <v>54</v>
      </c>
      <c r="D12" s="48" t="s">
        <v>35</v>
      </c>
      <c r="E12" s="42">
        <v>50</v>
      </c>
      <c r="F12" s="45">
        <v>7.26</v>
      </c>
      <c r="G12" s="45">
        <f>75*50/60</f>
        <v>62.5</v>
      </c>
      <c r="H12" s="45">
        <f>0.5*50/60</f>
        <v>0.41666666666666669</v>
      </c>
      <c r="I12" s="45">
        <f>5.1*50/60</f>
        <v>4.2499999999999991</v>
      </c>
      <c r="J12" s="54">
        <f>0</f>
        <v>0</v>
      </c>
    </row>
    <row r="13" spans="1:10" ht="30" x14ac:dyDescent="0.25">
      <c r="A13" s="40" t="s">
        <v>49</v>
      </c>
      <c r="B13" s="37" t="s">
        <v>15</v>
      </c>
      <c r="C13" s="52">
        <v>33</v>
      </c>
      <c r="D13" s="49" t="s">
        <v>36</v>
      </c>
      <c r="E13" s="43">
        <v>250</v>
      </c>
      <c r="F13" s="46">
        <v>10.57</v>
      </c>
      <c r="G13" s="46">
        <v>108.75</v>
      </c>
      <c r="H13" s="46">
        <v>1.72</v>
      </c>
      <c r="I13" s="46">
        <v>6.18</v>
      </c>
      <c r="J13" s="55">
        <v>11.66</v>
      </c>
    </row>
    <row r="14" spans="1:10" x14ac:dyDescent="0.25">
      <c r="A14" s="40"/>
      <c r="B14" s="37" t="s">
        <v>16</v>
      </c>
      <c r="C14" s="52">
        <v>58</v>
      </c>
      <c r="D14" s="49" t="s">
        <v>37</v>
      </c>
      <c r="E14" s="43">
        <v>90</v>
      </c>
      <c r="F14" s="46">
        <v>32.840000000000003</v>
      </c>
      <c r="G14" s="46">
        <v>257.39999999999998</v>
      </c>
      <c r="H14" s="46">
        <v>16.02</v>
      </c>
      <c r="I14" s="46">
        <v>15.75</v>
      </c>
      <c r="J14" s="55">
        <v>12.87</v>
      </c>
    </row>
    <row r="15" spans="1:10" x14ac:dyDescent="0.25">
      <c r="A15" s="40"/>
      <c r="B15" s="37" t="s">
        <v>17</v>
      </c>
      <c r="C15" s="52">
        <v>7</v>
      </c>
      <c r="D15" s="49" t="s">
        <v>38</v>
      </c>
      <c r="E15" s="43">
        <v>150</v>
      </c>
      <c r="F15" s="46">
        <v>12.72</v>
      </c>
      <c r="G15" s="46">
        <v>132.6</v>
      </c>
      <c r="H15" s="46">
        <f>3.74*150/180</f>
        <v>3.1166666666666667</v>
      </c>
      <c r="I15" s="46">
        <f>6.12*150/180</f>
        <v>5.0999999999999996</v>
      </c>
      <c r="J15" s="55">
        <f>22.28*150/180</f>
        <v>18.566666666666666</v>
      </c>
    </row>
    <row r="16" spans="1:10" x14ac:dyDescent="0.25">
      <c r="A16" s="40"/>
      <c r="B16" s="37" t="s">
        <v>30</v>
      </c>
      <c r="C16" s="52">
        <v>35</v>
      </c>
      <c r="D16" s="49" t="s">
        <v>39</v>
      </c>
      <c r="E16" s="43">
        <v>200</v>
      </c>
      <c r="F16" s="46">
        <v>6.37</v>
      </c>
      <c r="G16" s="46">
        <v>97</v>
      </c>
      <c r="H16" s="46">
        <v>0.7</v>
      </c>
      <c r="I16" s="46">
        <v>0.3</v>
      </c>
      <c r="J16" s="55">
        <v>22.8</v>
      </c>
    </row>
    <row r="17" spans="1:10" x14ac:dyDescent="0.25">
      <c r="A17" s="40"/>
      <c r="B17" s="37" t="s">
        <v>21</v>
      </c>
      <c r="C17" s="52" t="s">
        <v>24</v>
      </c>
      <c r="D17" s="49" t="s">
        <v>31</v>
      </c>
      <c r="E17" s="43">
        <v>33</v>
      </c>
      <c r="F17" s="46">
        <v>1.33</v>
      </c>
      <c r="G17" s="46">
        <v>66</v>
      </c>
      <c r="H17" s="46">
        <f>2.4*33/30</f>
        <v>2.64</v>
      </c>
      <c r="I17" s="46">
        <f>0.45*33/30</f>
        <v>0.495</v>
      </c>
      <c r="J17" s="55">
        <f>11.37*33/30</f>
        <v>12.507</v>
      </c>
    </row>
    <row r="18" spans="1:10" ht="15.75" thickBot="1" x14ac:dyDescent="0.3">
      <c r="A18" s="41"/>
      <c r="B18" s="27" t="s">
        <v>18</v>
      </c>
      <c r="C18" s="53" t="s">
        <v>24</v>
      </c>
      <c r="D18" s="50" t="s">
        <v>25</v>
      </c>
      <c r="E18" s="44">
        <v>34</v>
      </c>
      <c r="F18" s="47">
        <v>1.81</v>
      </c>
      <c r="G18" s="47">
        <v>70.72</v>
      </c>
      <c r="H18" s="47">
        <f>1.47*34/30</f>
        <v>1.6659999999999999</v>
      </c>
      <c r="I18" s="47">
        <f>0.3*34/30</f>
        <v>0.33999999999999997</v>
      </c>
      <c r="J18" s="56">
        <f>13.44*34/30</f>
        <v>15.231999999999999</v>
      </c>
    </row>
    <row r="19" spans="1:10" x14ac:dyDescent="0.25">
      <c r="A19" s="38" t="s">
        <v>10</v>
      </c>
      <c r="B19" s="39" t="s">
        <v>11</v>
      </c>
      <c r="C19" s="51">
        <v>72</v>
      </c>
      <c r="D19" s="48" t="s">
        <v>32</v>
      </c>
      <c r="E19" s="42">
        <v>200</v>
      </c>
      <c r="F19" s="45">
        <v>43.95</v>
      </c>
      <c r="G19" s="45">
        <v>312</v>
      </c>
      <c r="H19" s="45">
        <v>23.6</v>
      </c>
      <c r="I19" s="45">
        <v>8.93</v>
      </c>
      <c r="J19" s="54">
        <v>34.270000000000003</v>
      </c>
    </row>
    <row r="20" spans="1:10" x14ac:dyDescent="0.25">
      <c r="A20" s="40" t="s">
        <v>50</v>
      </c>
      <c r="B20" s="37" t="s">
        <v>12</v>
      </c>
      <c r="C20" s="52">
        <v>20</v>
      </c>
      <c r="D20" s="49" t="s">
        <v>33</v>
      </c>
      <c r="E20" s="43">
        <v>200</v>
      </c>
      <c r="F20" s="46">
        <v>4.57</v>
      </c>
      <c r="G20" s="46">
        <v>91</v>
      </c>
      <c r="H20" s="46">
        <v>1.4</v>
      </c>
      <c r="I20" s="46">
        <v>1.6</v>
      </c>
      <c r="J20" s="55">
        <v>17.7</v>
      </c>
    </row>
    <row r="21" spans="1:10" x14ac:dyDescent="0.25">
      <c r="A21" s="40"/>
      <c r="B21" s="37" t="s">
        <v>20</v>
      </c>
      <c r="C21" s="52" t="s">
        <v>24</v>
      </c>
      <c r="D21" s="49" t="s">
        <v>25</v>
      </c>
      <c r="E21" s="43">
        <v>30</v>
      </c>
      <c r="F21" s="46">
        <v>1.24</v>
      </c>
      <c r="G21" s="46">
        <v>60</v>
      </c>
      <c r="H21" s="46">
        <v>1.47</v>
      </c>
      <c r="I21" s="46">
        <v>0.3</v>
      </c>
      <c r="J21" s="55">
        <v>13.44</v>
      </c>
    </row>
    <row r="22" spans="1:10" x14ac:dyDescent="0.25">
      <c r="A22" s="40"/>
      <c r="B22" s="29"/>
      <c r="C22" s="52" t="s">
        <v>24</v>
      </c>
      <c r="D22" s="49" t="s">
        <v>31</v>
      </c>
      <c r="E22" s="43">
        <v>30</v>
      </c>
      <c r="F22" s="46">
        <v>1.6</v>
      </c>
      <c r="G22" s="46">
        <v>62.4</v>
      </c>
      <c r="H22" s="46">
        <v>2.4</v>
      </c>
      <c r="I22" s="46">
        <v>0.45</v>
      </c>
      <c r="J22" s="55">
        <v>11.37</v>
      </c>
    </row>
    <row r="23" spans="1:10" ht="15.75" thickBot="1" x14ac:dyDescent="0.3">
      <c r="A23" s="40"/>
      <c r="B23" s="30" t="s">
        <v>26</v>
      </c>
      <c r="C23" s="34" t="s">
        <v>24</v>
      </c>
      <c r="D23" s="33" t="s">
        <v>34</v>
      </c>
      <c r="E23" s="31">
        <v>34</v>
      </c>
      <c r="F23" s="32">
        <v>5.14</v>
      </c>
      <c r="G23" s="32">
        <f>190.76*34/60</f>
        <v>108.09733333333334</v>
      </c>
      <c r="H23" s="32">
        <f>3.22*34/60</f>
        <v>1.8246666666666667</v>
      </c>
      <c r="I23" s="32">
        <f>4.2*34/60</f>
        <v>2.3800000000000003</v>
      </c>
      <c r="J23" s="35">
        <f>35.02*34/60</f>
        <v>19.844666666666669</v>
      </c>
    </row>
    <row r="24" spans="1:10" s="28" customFormat="1" x14ac:dyDescent="0.25">
      <c r="A24" s="38" t="s">
        <v>51</v>
      </c>
      <c r="B24" s="57"/>
      <c r="C24" s="51">
        <v>8</v>
      </c>
      <c r="D24" s="48" t="s">
        <v>52</v>
      </c>
      <c r="E24" s="42">
        <v>200</v>
      </c>
      <c r="F24" s="45">
        <v>12.68</v>
      </c>
      <c r="G24" s="45">
        <v>108</v>
      </c>
      <c r="H24" s="45">
        <v>5.8</v>
      </c>
      <c r="I24" s="45">
        <v>5</v>
      </c>
      <c r="J24" s="54">
        <v>9.6</v>
      </c>
    </row>
    <row r="25" spans="1:10" s="28" customFormat="1" x14ac:dyDescent="0.25">
      <c r="A25" s="40"/>
      <c r="B25" s="29"/>
      <c r="C25" s="34" t="s">
        <v>24</v>
      </c>
      <c r="D25" s="33" t="s">
        <v>34</v>
      </c>
      <c r="E25" s="31">
        <v>34</v>
      </c>
      <c r="F25" s="32">
        <v>5.14</v>
      </c>
      <c r="G25" s="32">
        <f>190.76*34/60</f>
        <v>108.09733333333334</v>
      </c>
      <c r="H25" s="32">
        <f>3.22*34/60</f>
        <v>1.8246666666666667</v>
      </c>
      <c r="I25" s="32">
        <f>4.2*34/60</f>
        <v>2.3800000000000003</v>
      </c>
      <c r="J25" s="35">
        <f>35.02*34/60</f>
        <v>19.844666666666669</v>
      </c>
    </row>
    <row r="26" spans="1:10" s="28" customFormat="1" ht="15.75" thickBot="1" x14ac:dyDescent="0.3">
      <c r="A26" s="41"/>
      <c r="B26" s="36"/>
      <c r="C26" s="53">
        <v>67</v>
      </c>
      <c r="D26" s="50" t="s">
        <v>53</v>
      </c>
      <c r="E26" s="44">
        <v>130</v>
      </c>
      <c r="F26" s="47">
        <v>24.54</v>
      </c>
      <c r="G26" s="47">
        <f>376.67*130/100</f>
        <v>489.67099999999999</v>
      </c>
      <c r="H26" s="46">
        <f>7*130/100</f>
        <v>9.1</v>
      </c>
      <c r="I26" s="46">
        <f>13.83*130/100</f>
        <v>17.978999999999999</v>
      </c>
      <c r="J26" s="46">
        <f>55.83*130/100</f>
        <v>72.578999999999994</v>
      </c>
    </row>
    <row r="27" spans="1:10" x14ac:dyDescent="0.25">
      <c r="A27" s="38" t="s">
        <v>13</v>
      </c>
      <c r="B27" s="39" t="s">
        <v>14</v>
      </c>
      <c r="C27" s="51">
        <v>54</v>
      </c>
      <c r="D27" s="48" t="s">
        <v>35</v>
      </c>
      <c r="E27" s="42">
        <v>65</v>
      </c>
      <c r="F27" s="45">
        <v>8.49</v>
      </c>
      <c r="G27" s="45">
        <f>75*65/60</f>
        <v>81.25</v>
      </c>
      <c r="H27" s="45">
        <f>0.5*65/60</f>
        <v>0.54166666666666663</v>
      </c>
      <c r="I27" s="45">
        <f>5.1*65/60</f>
        <v>5.5250000000000004</v>
      </c>
      <c r="J27" s="54">
        <f>0</f>
        <v>0</v>
      </c>
    </row>
    <row r="28" spans="1:10" ht="30" x14ac:dyDescent="0.25">
      <c r="A28" s="40" t="s">
        <v>50</v>
      </c>
      <c r="B28" s="37" t="s">
        <v>15</v>
      </c>
      <c r="C28" s="52">
        <v>33</v>
      </c>
      <c r="D28" s="49" t="s">
        <v>36</v>
      </c>
      <c r="E28" s="43">
        <v>250</v>
      </c>
      <c r="F28" s="46">
        <v>10.57</v>
      </c>
      <c r="G28" s="46">
        <v>108.75</v>
      </c>
      <c r="H28" s="46">
        <v>1.72</v>
      </c>
      <c r="I28" s="46">
        <v>6.18</v>
      </c>
      <c r="J28" s="55">
        <v>11.66</v>
      </c>
    </row>
    <row r="29" spans="1:10" x14ac:dyDescent="0.25">
      <c r="A29" s="40"/>
      <c r="B29" s="37" t="s">
        <v>16</v>
      </c>
      <c r="C29" s="52">
        <v>58</v>
      </c>
      <c r="D29" s="49" t="s">
        <v>37</v>
      </c>
      <c r="E29" s="43">
        <v>100</v>
      </c>
      <c r="F29" s="46">
        <v>40.130000000000003</v>
      </c>
      <c r="G29" s="46">
        <v>286</v>
      </c>
      <c r="H29" s="46">
        <f>16.02*100/90</f>
        <v>17.8</v>
      </c>
      <c r="I29" s="46">
        <f>15.75*100/90</f>
        <v>17.5</v>
      </c>
      <c r="J29" s="55">
        <f>12.87*100/90</f>
        <v>14.3</v>
      </c>
    </row>
    <row r="30" spans="1:10" x14ac:dyDescent="0.25">
      <c r="A30" s="40"/>
      <c r="B30" s="37" t="s">
        <v>17</v>
      </c>
      <c r="C30" s="52">
        <v>7</v>
      </c>
      <c r="D30" s="49" t="s">
        <v>38</v>
      </c>
      <c r="E30" s="43">
        <v>180</v>
      </c>
      <c r="F30" s="46">
        <v>15.26</v>
      </c>
      <c r="G30" s="46">
        <v>159.12</v>
      </c>
      <c r="H30" s="46">
        <v>3.74</v>
      </c>
      <c r="I30" s="46">
        <v>6.12</v>
      </c>
      <c r="J30" s="55">
        <v>22.28</v>
      </c>
    </row>
    <row r="31" spans="1:10" x14ac:dyDescent="0.25">
      <c r="A31" s="40"/>
      <c r="B31" s="37" t="s">
        <v>30</v>
      </c>
      <c r="C31" s="52">
        <v>35</v>
      </c>
      <c r="D31" s="49" t="s">
        <v>39</v>
      </c>
      <c r="E31" s="43">
        <v>200</v>
      </c>
      <c r="F31" s="46">
        <v>6.37</v>
      </c>
      <c r="G31" s="46">
        <v>97</v>
      </c>
      <c r="H31" s="46">
        <v>0.7</v>
      </c>
      <c r="I31" s="46">
        <v>0.3</v>
      </c>
      <c r="J31" s="55">
        <v>22.8</v>
      </c>
    </row>
    <row r="32" spans="1:10" x14ac:dyDescent="0.25">
      <c r="A32" s="40"/>
      <c r="B32" s="37" t="s">
        <v>21</v>
      </c>
      <c r="C32" s="52" t="s">
        <v>24</v>
      </c>
      <c r="D32" s="49" t="s">
        <v>31</v>
      </c>
      <c r="E32" s="43">
        <v>42</v>
      </c>
      <c r="F32" s="46">
        <v>2.21</v>
      </c>
      <c r="G32" s="46">
        <v>87.36</v>
      </c>
      <c r="H32" s="46">
        <f>2.4*42/30</f>
        <v>3.36</v>
      </c>
      <c r="I32" s="46">
        <f>0.45*42/30</f>
        <v>0.63000000000000012</v>
      </c>
      <c r="J32" s="55">
        <f>11.37*42/30</f>
        <v>15.917999999999999</v>
      </c>
    </row>
    <row r="33" spans="1:10" ht="15.75" thickBot="1" x14ac:dyDescent="0.3">
      <c r="A33" s="41"/>
      <c r="B33" s="27" t="s">
        <v>18</v>
      </c>
      <c r="C33" s="53" t="s">
        <v>24</v>
      </c>
      <c r="D33" s="50" t="s">
        <v>25</v>
      </c>
      <c r="E33" s="44">
        <v>41</v>
      </c>
      <c r="F33" s="47">
        <v>1.69</v>
      </c>
      <c r="G33" s="47">
        <v>82</v>
      </c>
      <c r="H33" s="47">
        <f>1.47*41/30</f>
        <v>2.0089999999999999</v>
      </c>
      <c r="I33" s="47">
        <f>0.3*41/30</f>
        <v>0.41</v>
      </c>
      <c r="J33" s="56">
        <f>13.44*41/30</f>
        <v>18.367999999999999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76</v>
      </c>
      <c r="C1" s="66"/>
      <c r="D1" s="67"/>
      <c r="E1" t="s">
        <v>19</v>
      </c>
      <c r="F1" s="12" t="s">
        <v>48</v>
      </c>
      <c r="I1" t="s">
        <v>1</v>
      </c>
      <c r="J1" s="11">
        <v>44337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1">
        <v>32</v>
      </c>
      <c r="D4" s="18" t="s">
        <v>40</v>
      </c>
      <c r="E4" s="9">
        <v>150</v>
      </c>
      <c r="F4" s="13">
        <v>25.91</v>
      </c>
      <c r="G4" s="13">
        <v>313</v>
      </c>
      <c r="H4" s="13">
        <f>13.84*150/150</f>
        <v>13.84</v>
      </c>
      <c r="I4" s="13">
        <f>13.14*150/150</f>
        <v>13.14</v>
      </c>
      <c r="J4" s="24">
        <f>35.02*150/150</f>
        <v>35.020000000000003</v>
      </c>
    </row>
    <row r="5" spans="1:10" x14ac:dyDescent="0.25">
      <c r="A5" s="40" t="s">
        <v>49</v>
      </c>
      <c r="B5" s="1" t="s">
        <v>12</v>
      </c>
      <c r="C5" s="22">
        <v>57</v>
      </c>
      <c r="D5" s="19" t="s">
        <v>41</v>
      </c>
      <c r="E5" s="10">
        <v>200</v>
      </c>
      <c r="F5" s="14">
        <v>1.42</v>
      </c>
      <c r="G5" s="14">
        <v>60</v>
      </c>
      <c r="H5" s="14">
        <v>0.1</v>
      </c>
      <c r="I5" s="14">
        <v>0</v>
      </c>
      <c r="J5" s="25">
        <v>5</v>
      </c>
    </row>
    <row r="6" spans="1:10" x14ac:dyDescent="0.25">
      <c r="A6" s="5"/>
      <c r="B6" s="1" t="s">
        <v>20</v>
      </c>
      <c r="C6" s="22" t="s">
        <v>24</v>
      </c>
      <c r="D6" s="19" t="s">
        <v>25</v>
      </c>
      <c r="E6" s="10">
        <v>27</v>
      </c>
      <c r="F6" s="14">
        <v>1.0900000000000001</v>
      </c>
      <c r="G6" s="14">
        <v>54</v>
      </c>
      <c r="H6" s="14">
        <f>1.47*27/30</f>
        <v>1.323</v>
      </c>
      <c r="I6" s="14">
        <f>0.3*27/30</f>
        <v>0.26999999999999996</v>
      </c>
      <c r="J6" s="25">
        <f>13.44*27/30</f>
        <v>12.096</v>
      </c>
    </row>
    <row r="7" spans="1:10" x14ac:dyDescent="0.25">
      <c r="A7" s="5"/>
      <c r="B7" s="2"/>
      <c r="C7" s="22" t="s">
        <v>24</v>
      </c>
      <c r="D7" s="19" t="s">
        <v>31</v>
      </c>
      <c r="E7" s="10">
        <v>27</v>
      </c>
      <c r="F7" s="14">
        <v>1.44</v>
      </c>
      <c r="G7" s="14">
        <v>56.16</v>
      </c>
      <c r="H7" s="14">
        <f>2.4*27/30</f>
        <v>2.1599999999999997</v>
      </c>
      <c r="I7" s="14">
        <f>0.45*27/30</f>
        <v>0.40500000000000003</v>
      </c>
      <c r="J7" s="25">
        <f>11.37*27/30</f>
        <v>10.232999999999999</v>
      </c>
    </row>
    <row r="8" spans="1:10" x14ac:dyDescent="0.25">
      <c r="A8" s="5"/>
      <c r="B8" s="15" t="s">
        <v>26</v>
      </c>
      <c r="C8" s="23">
        <v>1</v>
      </c>
      <c r="D8" s="20" t="s">
        <v>42</v>
      </c>
      <c r="E8" s="16">
        <v>55</v>
      </c>
      <c r="F8" s="17">
        <v>16.829999999999998</v>
      </c>
      <c r="G8" s="17">
        <v>22</v>
      </c>
      <c r="H8" s="17">
        <f>2.33*55/75</f>
        <v>1.7086666666666668</v>
      </c>
      <c r="I8" s="17">
        <f>0.15*55/75</f>
        <v>0.11</v>
      </c>
      <c r="J8" s="26">
        <f>4.88*55/75</f>
        <v>3.5786666666666664</v>
      </c>
    </row>
    <row r="9" spans="1:10" ht="15.75" thickBot="1" x14ac:dyDescent="0.3">
      <c r="A9" s="5"/>
      <c r="B9" s="15"/>
      <c r="C9" s="23" t="s">
        <v>24</v>
      </c>
      <c r="D9" s="20" t="s">
        <v>43</v>
      </c>
      <c r="E9" s="16">
        <v>19</v>
      </c>
      <c r="F9" s="17">
        <v>1.91</v>
      </c>
      <c r="G9" s="17">
        <v>72.37</v>
      </c>
      <c r="H9" s="17">
        <v>3.53</v>
      </c>
      <c r="I9" s="17">
        <v>9.8800000000000008</v>
      </c>
      <c r="J9" s="26">
        <v>3.53</v>
      </c>
    </row>
    <row r="10" spans="1:10" s="28" customFormat="1" x14ac:dyDescent="0.25">
      <c r="A10" s="38" t="s">
        <v>51</v>
      </c>
      <c r="B10" s="57"/>
      <c r="C10" s="51">
        <v>63</v>
      </c>
      <c r="D10" s="48" t="s">
        <v>54</v>
      </c>
      <c r="E10" s="42">
        <v>200</v>
      </c>
      <c r="F10" s="45">
        <v>15.78</v>
      </c>
      <c r="G10" s="45">
        <v>106</v>
      </c>
      <c r="H10" s="45">
        <v>5.8</v>
      </c>
      <c r="I10" s="45">
        <v>5</v>
      </c>
      <c r="J10" s="54">
        <v>8</v>
      </c>
    </row>
    <row r="11" spans="1:10" s="28" customFormat="1" ht="15.75" thickBot="1" x14ac:dyDescent="0.3">
      <c r="A11" s="41"/>
      <c r="B11" s="36"/>
      <c r="C11" s="53">
        <v>44</v>
      </c>
      <c r="D11" s="50" t="s">
        <v>55</v>
      </c>
      <c r="E11" s="44">
        <v>100</v>
      </c>
      <c r="F11" s="47">
        <v>20.66</v>
      </c>
      <c r="G11" s="47">
        <v>356.67</v>
      </c>
      <c r="H11" s="47">
        <f>10.5*100/100</f>
        <v>10.5</v>
      </c>
      <c r="I11" s="47">
        <f>10.33*100/100</f>
        <v>10.33</v>
      </c>
      <c r="J11" s="56">
        <f>55.33*100/100</f>
        <v>55.33</v>
      </c>
    </row>
    <row r="12" spans="1:10" x14ac:dyDescent="0.25">
      <c r="A12" s="38" t="s">
        <v>13</v>
      </c>
      <c r="B12" s="39" t="s">
        <v>14</v>
      </c>
      <c r="C12" s="51">
        <v>4</v>
      </c>
      <c r="D12" s="48" t="s">
        <v>44</v>
      </c>
      <c r="E12" s="42">
        <v>30</v>
      </c>
      <c r="F12" s="45">
        <v>9.36</v>
      </c>
      <c r="G12" s="45">
        <v>4.2</v>
      </c>
      <c r="H12" s="45">
        <f>0.48*30/60</f>
        <v>0.23999999999999996</v>
      </c>
      <c r="I12" s="45">
        <f>0.06*30/60</f>
        <v>2.9999999999999995E-2</v>
      </c>
      <c r="J12" s="54">
        <f>1.5*30/60</f>
        <v>0.75</v>
      </c>
    </row>
    <row r="13" spans="1:10" ht="30" x14ac:dyDescent="0.25">
      <c r="A13" s="40" t="s">
        <v>49</v>
      </c>
      <c r="B13" s="37" t="s">
        <v>15</v>
      </c>
      <c r="C13" s="52">
        <v>22</v>
      </c>
      <c r="D13" s="49" t="s">
        <v>45</v>
      </c>
      <c r="E13" s="43">
        <v>255</v>
      </c>
      <c r="F13" s="46">
        <v>8.99</v>
      </c>
      <c r="G13" s="46">
        <v>108.5</v>
      </c>
      <c r="H13" s="46">
        <v>1.75</v>
      </c>
      <c r="I13" s="46">
        <v>6.05</v>
      </c>
      <c r="J13" s="55">
        <v>11.86</v>
      </c>
    </row>
    <row r="14" spans="1:10" x14ac:dyDescent="0.25">
      <c r="A14" s="40"/>
      <c r="B14" s="37" t="s">
        <v>16</v>
      </c>
      <c r="C14" s="52">
        <v>39</v>
      </c>
      <c r="D14" s="49" t="s">
        <v>46</v>
      </c>
      <c r="E14" s="43">
        <v>190</v>
      </c>
      <c r="F14" s="46">
        <v>40.89</v>
      </c>
      <c r="G14" s="46">
        <v>244.41</v>
      </c>
      <c r="H14" s="46">
        <f>13.43*190/220</f>
        <v>11.598636363636363</v>
      </c>
      <c r="I14" s="46">
        <f>17.52*190/220</f>
        <v>15.130909090909089</v>
      </c>
      <c r="J14" s="55">
        <f>16.06*190/220</f>
        <v>13.87</v>
      </c>
    </row>
    <row r="15" spans="1:10" x14ac:dyDescent="0.25">
      <c r="A15" s="40"/>
      <c r="B15" s="37" t="s">
        <v>30</v>
      </c>
      <c r="C15" s="52">
        <v>25</v>
      </c>
      <c r="D15" s="49" t="s">
        <v>47</v>
      </c>
      <c r="E15" s="43">
        <v>200</v>
      </c>
      <c r="F15" s="46">
        <v>10.55</v>
      </c>
      <c r="G15" s="46">
        <v>136</v>
      </c>
      <c r="H15" s="46">
        <v>0.6</v>
      </c>
      <c r="I15" s="46">
        <v>0</v>
      </c>
      <c r="J15" s="55">
        <v>33</v>
      </c>
    </row>
    <row r="16" spans="1:10" x14ac:dyDescent="0.25">
      <c r="A16" s="40"/>
      <c r="B16" s="37" t="s">
        <v>21</v>
      </c>
      <c r="C16" s="52" t="s">
        <v>24</v>
      </c>
      <c r="D16" s="49" t="s">
        <v>31</v>
      </c>
      <c r="E16" s="43">
        <v>33</v>
      </c>
      <c r="F16" s="46">
        <v>1.35</v>
      </c>
      <c r="G16" s="46">
        <v>66</v>
      </c>
      <c r="H16" s="46">
        <f>2.4*33/30</f>
        <v>2.64</v>
      </c>
      <c r="I16" s="46">
        <f>0.45*33/30</f>
        <v>0.495</v>
      </c>
      <c r="J16" s="55">
        <f>11.37*33/30</f>
        <v>12.507</v>
      </c>
    </row>
    <row r="17" spans="1:10" ht="15.75" thickBot="1" x14ac:dyDescent="0.3">
      <c r="A17" s="41"/>
      <c r="B17" s="27" t="s">
        <v>18</v>
      </c>
      <c r="C17" s="53" t="s">
        <v>24</v>
      </c>
      <c r="D17" s="50" t="s">
        <v>25</v>
      </c>
      <c r="E17" s="44">
        <v>33</v>
      </c>
      <c r="F17" s="47">
        <v>1.76</v>
      </c>
      <c r="G17" s="47">
        <v>68.64</v>
      </c>
      <c r="H17" s="47">
        <f>1.47*33/30</f>
        <v>1.617</v>
      </c>
      <c r="I17" s="47">
        <f>0.3*33/30</f>
        <v>0.33</v>
      </c>
      <c r="J17" s="56">
        <f>13.44*33/30</f>
        <v>14.783999999999999</v>
      </c>
    </row>
    <row r="18" spans="1:10" x14ac:dyDescent="0.25">
      <c r="A18" s="38" t="s">
        <v>10</v>
      </c>
      <c r="B18" s="39" t="s">
        <v>11</v>
      </c>
      <c r="C18" s="51">
        <v>32</v>
      </c>
      <c r="D18" s="48" t="s">
        <v>40</v>
      </c>
      <c r="E18" s="42">
        <v>180</v>
      </c>
      <c r="F18" s="45">
        <v>30.99</v>
      </c>
      <c r="G18" s="45">
        <v>375.6</v>
      </c>
      <c r="H18" s="45">
        <f>13.84*180/150</f>
        <v>16.608000000000001</v>
      </c>
      <c r="I18" s="45">
        <f>13.14*180/150</f>
        <v>15.768000000000002</v>
      </c>
      <c r="J18" s="54">
        <f>35.02*180/150</f>
        <v>42.024000000000001</v>
      </c>
    </row>
    <row r="19" spans="1:10" x14ac:dyDescent="0.25">
      <c r="A19" s="40" t="s">
        <v>50</v>
      </c>
      <c r="B19" s="37" t="s">
        <v>12</v>
      </c>
      <c r="C19" s="52">
        <v>57</v>
      </c>
      <c r="D19" s="49" t="s">
        <v>41</v>
      </c>
      <c r="E19" s="43">
        <v>200</v>
      </c>
      <c r="F19" s="46">
        <v>1.42</v>
      </c>
      <c r="G19" s="46">
        <v>60</v>
      </c>
      <c r="H19" s="46">
        <v>0.1</v>
      </c>
      <c r="I19" s="46">
        <v>0</v>
      </c>
      <c r="J19" s="55">
        <v>5</v>
      </c>
    </row>
    <row r="20" spans="1:10" x14ac:dyDescent="0.25">
      <c r="A20" s="40"/>
      <c r="B20" s="37" t="s">
        <v>20</v>
      </c>
      <c r="C20" s="52" t="s">
        <v>24</v>
      </c>
      <c r="D20" s="49" t="s">
        <v>25</v>
      </c>
      <c r="E20" s="43">
        <v>40</v>
      </c>
      <c r="F20" s="46">
        <v>1.65</v>
      </c>
      <c r="G20" s="46">
        <f>60*40/30</f>
        <v>80</v>
      </c>
      <c r="H20" s="46">
        <f>1.47*40/30</f>
        <v>1.96</v>
      </c>
      <c r="I20" s="46">
        <f>0.3*40/30</f>
        <v>0.4</v>
      </c>
      <c r="J20" s="55">
        <f>13.44*40/30</f>
        <v>17.920000000000002</v>
      </c>
    </row>
    <row r="21" spans="1:10" x14ac:dyDescent="0.25">
      <c r="A21" s="40"/>
      <c r="B21" s="29"/>
      <c r="C21" s="52" t="s">
        <v>24</v>
      </c>
      <c r="D21" s="49" t="s">
        <v>31</v>
      </c>
      <c r="E21" s="43">
        <v>40</v>
      </c>
      <c r="F21" s="46">
        <v>2.13</v>
      </c>
      <c r="G21" s="46">
        <f>62.4*40/30</f>
        <v>83.2</v>
      </c>
      <c r="H21" s="46">
        <f>2.4*40/30</f>
        <v>3.2</v>
      </c>
      <c r="I21" s="46">
        <f>0.45*40/30</f>
        <v>0.6</v>
      </c>
      <c r="J21" s="55">
        <f>11.37*40/30</f>
        <v>15.159999999999998</v>
      </c>
    </row>
    <row r="22" spans="1:10" x14ac:dyDescent="0.25">
      <c r="A22" s="40"/>
      <c r="B22" s="30" t="s">
        <v>26</v>
      </c>
      <c r="C22" s="34">
        <v>1</v>
      </c>
      <c r="D22" s="33" t="s">
        <v>42</v>
      </c>
      <c r="E22" s="31">
        <v>60</v>
      </c>
      <c r="F22" s="32">
        <v>18.399999999999999</v>
      </c>
      <c r="G22" s="32">
        <v>24</v>
      </c>
      <c r="H22" s="32">
        <f>2.33*60/75</f>
        <v>1.8640000000000001</v>
      </c>
      <c r="I22" s="32">
        <f>0.15*60/75</f>
        <v>0.12</v>
      </c>
      <c r="J22" s="35">
        <f>4.88*60/75</f>
        <v>3.9040000000000004</v>
      </c>
    </row>
    <row r="23" spans="1:10" ht="15.75" thickBot="1" x14ac:dyDescent="0.3">
      <c r="A23" s="40"/>
      <c r="B23" s="30"/>
      <c r="C23" s="34" t="s">
        <v>24</v>
      </c>
      <c r="D23" s="33" t="s">
        <v>43</v>
      </c>
      <c r="E23" s="31">
        <v>19</v>
      </c>
      <c r="F23" s="32">
        <v>1.91</v>
      </c>
      <c r="G23" s="32">
        <v>72.37</v>
      </c>
      <c r="H23" s="32">
        <v>3.53</v>
      </c>
      <c r="I23" s="32">
        <v>9.8800000000000008</v>
      </c>
      <c r="J23" s="35">
        <v>3.53</v>
      </c>
    </row>
    <row r="24" spans="1:10" s="28" customFormat="1" x14ac:dyDescent="0.25">
      <c r="A24" s="38" t="s">
        <v>51</v>
      </c>
      <c r="B24" s="57"/>
      <c r="C24" s="51">
        <v>63</v>
      </c>
      <c r="D24" s="48" t="s">
        <v>54</v>
      </c>
      <c r="E24" s="42">
        <v>200</v>
      </c>
      <c r="F24" s="45">
        <v>15.78</v>
      </c>
      <c r="G24" s="45">
        <v>106</v>
      </c>
      <c r="H24" s="45">
        <v>5.8</v>
      </c>
      <c r="I24" s="45">
        <v>5</v>
      </c>
      <c r="J24" s="54">
        <v>8</v>
      </c>
    </row>
    <row r="25" spans="1:10" s="28" customFormat="1" ht="15.75" thickBot="1" x14ac:dyDescent="0.3">
      <c r="A25" s="41"/>
      <c r="B25" s="36"/>
      <c r="C25" s="53">
        <v>44</v>
      </c>
      <c r="D25" s="50" t="s">
        <v>55</v>
      </c>
      <c r="E25" s="44">
        <v>130</v>
      </c>
      <c r="F25" s="47">
        <v>26.58</v>
      </c>
      <c r="G25" s="47">
        <v>463.67</v>
      </c>
      <c r="H25" s="47">
        <f>10.5*130/100</f>
        <v>13.65</v>
      </c>
      <c r="I25" s="47">
        <f>10.33*130/100</f>
        <v>13.429</v>
      </c>
      <c r="J25" s="56">
        <f>55.33*130/100</f>
        <v>71.929000000000002</v>
      </c>
    </row>
    <row r="26" spans="1:10" x14ac:dyDescent="0.25">
      <c r="A26" s="38" t="s">
        <v>13</v>
      </c>
      <c r="B26" s="39" t="s">
        <v>14</v>
      </c>
      <c r="C26" s="51">
        <v>4</v>
      </c>
      <c r="D26" s="48" t="s">
        <v>44</v>
      </c>
      <c r="E26" s="42">
        <v>45</v>
      </c>
      <c r="F26" s="45">
        <v>14.04</v>
      </c>
      <c r="G26" s="45">
        <f>8.4*45/60</f>
        <v>6.3</v>
      </c>
      <c r="H26" s="45">
        <f>0.48*45/60</f>
        <v>0.36</v>
      </c>
      <c r="I26" s="45">
        <f>0.06*45/60</f>
        <v>4.4999999999999998E-2</v>
      </c>
      <c r="J26" s="54">
        <f>1.5*45/60</f>
        <v>1.125</v>
      </c>
    </row>
    <row r="27" spans="1:10" ht="30" x14ac:dyDescent="0.25">
      <c r="A27" s="40" t="s">
        <v>50</v>
      </c>
      <c r="B27" s="37" t="s">
        <v>15</v>
      </c>
      <c r="C27" s="52">
        <v>22</v>
      </c>
      <c r="D27" s="49" t="s">
        <v>45</v>
      </c>
      <c r="E27" s="43">
        <v>255</v>
      </c>
      <c r="F27" s="46">
        <v>8.99</v>
      </c>
      <c r="G27" s="46">
        <v>108.5</v>
      </c>
      <c r="H27" s="46">
        <v>1.75</v>
      </c>
      <c r="I27" s="46">
        <v>6.05</v>
      </c>
      <c r="J27" s="55">
        <v>11.86</v>
      </c>
    </row>
    <row r="28" spans="1:10" x14ac:dyDescent="0.25">
      <c r="A28" s="40"/>
      <c r="B28" s="37" t="s">
        <v>16</v>
      </c>
      <c r="C28" s="52">
        <v>39</v>
      </c>
      <c r="D28" s="49" t="s">
        <v>46</v>
      </c>
      <c r="E28" s="43">
        <f>180+35</f>
        <v>215</v>
      </c>
      <c r="F28" s="46">
        <v>47.2</v>
      </c>
      <c r="G28" s="46">
        <v>276.57</v>
      </c>
      <c r="H28" s="46">
        <f>13.43*215/220</f>
        <v>13.124772727272726</v>
      </c>
      <c r="I28" s="46">
        <f>17.52*215/220</f>
        <v>17.121818181818181</v>
      </c>
      <c r="J28" s="55">
        <f>16.06*215/220</f>
        <v>15.694999999999999</v>
      </c>
    </row>
    <row r="29" spans="1:10" x14ac:dyDescent="0.25">
      <c r="A29" s="40"/>
      <c r="B29" s="37" t="s">
        <v>30</v>
      </c>
      <c r="C29" s="52">
        <v>25</v>
      </c>
      <c r="D29" s="49" t="s">
        <v>47</v>
      </c>
      <c r="E29" s="43">
        <v>200</v>
      </c>
      <c r="F29" s="46">
        <v>10.55</v>
      </c>
      <c r="G29" s="46">
        <v>136</v>
      </c>
      <c r="H29" s="46">
        <v>0.6</v>
      </c>
      <c r="I29" s="46">
        <v>0</v>
      </c>
      <c r="J29" s="55">
        <v>33</v>
      </c>
    </row>
    <row r="30" spans="1:10" x14ac:dyDescent="0.25">
      <c r="A30" s="40"/>
      <c r="B30" s="37" t="s">
        <v>21</v>
      </c>
      <c r="C30" s="52" t="s">
        <v>24</v>
      </c>
      <c r="D30" s="49" t="s">
        <v>31</v>
      </c>
      <c r="E30" s="43">
        <v>42</v>
      </c>
      <c r="F30" s="46">
        <v>2.2400000000000002</v>
      </c>
      <c r="G30" s="46">
        <v>87.36</v>
      </c>
      <c r="H30" s="46">
        <f>2.4*42/30</f>
        <v>3.36</v>
      </c>
      <c r="I30" s="46">
        <f>0.45*42/30</f>
        <v>0.63000000000000012</v>
      </c>
      <c r="J30" s="55">
        <f>11.37*42/30</f>
        <v>15.917999999999999</v>
      </c>
    </row>
    <row r="31" spans="1:10" ht="15.75" thickBot="1" x14ac:dyDescent="0.3">
      <c r="A31" s="41"/>
      <c r="B31" s="27" t="s">
        <v>18</v>
      </c>
      <c r="C31" s="53" t="s">
        <v>24</v>
      </c>
      <c r="D31" s="50" t="s">
        <v>25</v>
      </c>
      <c r="E31" s="44">
        <v>42</v>
      </c>
      <c r="F31" s="47">
        <v>1.7</v>
      </c>
      <c r="G31" s="47">
        <v>84</v>
      </c>
      <c r="H31" s="47">
        <f>1.47*42/30</f>
        <v>2.0580000000000003</v>
      </c>
      <c r="I31" s="47">
        <f>0.3*42/30</f>
        <v>0.42</v>
      </c>
      <c r="J31" s="56">
        <f>13.44*42/30</f>
        <v>18.815999999999999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" sqref="B1:D1"/>
    </sheetView>
  </sheetViews>
  <sheetFormatPr defaultColWidth="8.85546875"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8.8554687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8.85546875" style="28"/>
  </cols>
  <sheetData>
    <row r="1" spans="1:10" x14ac:dyDescent="0.25">
      <c r="A1" s="28" t="s">
        <v>0</v>
      </c>
      <c r="B1" s="65" t="s">
        <v>76</v>
      </c>
      <c r="C1" s="66"/>
      <c r="D1" s="67"/>
      <c r="E1" s="28" t="s">
        <v>19</v>
      </c>
      <c r="F1" s="12"/>
      <c r="I1" s="28" t="s">
        <v>1</v>
      </c>
      <c r="J1" s="11">
        <v>44341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46</v>
      </c>
      <c r="D4" s="48" t="s">
        <v>69</v>
      </c>
      <c r="E4" s="42">
        <v>200</v>
      </c>
      <c r="F4" s="45">
        <v>12.51</v>
      </c>
      <c r="G4" s="45">
        <v>193.84</v>
      </c>
      <c r="H4" s="45">
        <v>5.21</v>
      </c>
      <c r="I4" s="45">
        <v>7.16</v>
      </c>
      <c r="J4" s="54">
        <v>27.84</v>
      </c>
    </row>
    <row r="5" spans="1:10" x14ac:dyDescent="0.25">
      <c r="A5" s="40"/>
      <c r="B5" s="37" t="s">
        <v>12</v>
      </c>
      <c r="C5" s="52">
        <v>36</v>
      </c>
      <c r="D5" s="49" t="s">
        <v>70</v>
      </c>
      <c r="E5" s="43">
        <v>200</v>
      </c>
      <c r="F5" s="46">
        <v>11.8</v>
      </c>
      <c r="G5" s="46">
        <v>150.80000000000001</v>
      </c>
      <c r="H5" s="46">
        <v>3.76</v>
      </c>
      <c r="I5" s="46">
        <v>3.2</v>
      </c>
      <c r="J5" s="55">
        <v>26.74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20</v>
      </c>
      <c r="F6" s="46">
        <v>0.83</v>
      </c>
      <c r="G6" s="46">
        <v>40</v>
      </c>
      <c r="H6" s="46">
        <v>0.98</v>
      </c>
      <c r="I6" s="46">
        <v>0.2</v>
      </c>
      <c r="J6" s="55">
        <v>8.9499999999999993</v>
      </c>
    </row>
    <row r="7" spans="1:10" x14ac:dyDescent="0.25">
      <c r="A7" s="40"/>
      <c r="B7" s="29"/>
      <c r="C7" s="52" t="s">
        <v>24</v>
      </c>
      <c r="D7" s="49" t="s">
        <v>31</v>
      </c>
      <c r="E7" s="43">
        <v>21</v>
      </c>
      <c r="F7" s="46">
        <v>1.58</v>
      </c>
      <c r="G7" s="46">
        <v>43.68</v>
      </c>
      <c r="H7" s="46">
        <v>1.6800000000000002</v>
      </c>
      <c r="I7" s="46">
        <v>3.15E-2</v>
      </c>
      <c r="J7" s="55">
        <v>8.4209999999999994</v>
      </c>
    </row>
    <row r="8" spans="1:10" x14ac:dyDescent="0.25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25">
      <c r="A9" s="40"/>
      <c r="B9" s="30"/>
      <c r="C9" s="52">
        <v>6</v>
      </c>
      <c r="D9" s="49" t="s">
        <v>28</v>
      </c>
      <c r="E9" s="43">
        <v>17</v>
      </c>
      <c r="F9" s="46">
        <v>10.68</v>
      </c>
      <c r="G9" s="46">
        <v>51</v>
      </c>
      <c r="H9" s="46">
        <v>1.9266666666666667</v>
      </c>
      <c r="I9" s="46">
        <v>3.9099999999999997</v>
      </c>
      <c r="J9" s="46">
        <v>0.43916666666666665</v>
      </c>
    </row>
    <row r="10" spans="1:10" ht="15.75" thickBot="1" x14ac:dyDescent="0.3">
      <c r="A10" s="40"/>
      <c r="B10" s="30"/>
      <c r="C10" s="52" t="s">
        <v>24</v>
      </c>
      <c r="D10" s="33" t="s">
        <v>43</v>
      </c>
      <c r="E10" s="31">
        <v>38</v>
      </c>
      <c r="F10" s="32">
        <v>4.16</v>
      </c>
      <c r="G10" s="32">
        <v>144.74</v>
      </c>
      <c r="H10" s="32">
        <v>3.53</v>
      </c>
      <c r="I10" s="32">
        <v>9.8800000000000008</v>
      </c>
      <c r="J10" s="35">
        <v>3.53</v>
      </c>
    </row>
    <row r="11" spans="1:10" x14ac:dyDescent="0.25">
      <c r="A11" s="38" t="s">
        <v>51</v>
      </c>
      <c r="B11" s="57"/>
      <c r="C11" s="51">
        <v>63</v>
      </c>
      <c r="D11" s="48" t="s">
        <v>71</v>
      </c>
      <c r="E11" s="42">
        <v>200</v>
      </c>
      <c r="F11" s="45">
        <v>21.24</v>
      </c>
      <c r="G11" s="45">
        <v>106</v>
      </c>
      <c r="H11" s="45">
        <v>5.8</v>
      </c>
      <c r="I11" s="45">
        <v>5</v>
      </c>
      <c r="J11" s="54">
        <v>8</v>
      </c>
    </row>
    <row r="12" spans="1:10" ht="15.75" thickBot="1" x14ac:dyDescent="0.3">
      <c r="A12" s="41"/>
      <c r="B12" s="36"/>
      <c r="C12" s="53" t="s">
        <v>24</v>
      </c>
      <c r="D12" s="50" t="s">
        <v>72</v>
      </c>
      <c r="E12" s="44">
        <v>110</v>
      </c>
      <c r="F12" s="47">
        <v>15.2</v>
      </c>
      <c r="G12" s="47">
        <v>105.6</v>
      </c>
      <c r="H12" s="47">
        <v>1.65</v>
      </c>
      <c r="I12" s="47">
        <v>0.55000000000000004</v>
      </c>
      <c r="J12" s="56">
        <v>23.1</v>
      </c>
    </row>
    <row r="13" spans="1:10" x14ac:dyDescent="0.25">
      <c r="A13" s="38" t="s">
        <v>13</v>
      </c>
      <c r="B13" s="39" t="s">
        <v>14</v>
      </c>
      <c r="C13" s="51">
        <v>59</v>
      </c>
      <c r="D13" s="48" t="s">
        <v>29</v>
      </c>
      <c r="E13" s="42">
        <v>55</v>
      </c>
      <c r="F13" s="45">
        <v>3.89</v>
      </c>
      <c r="G13" s="45">
        <v>68.75</v>
      </c>
      <c r="H13" s="45">
        <v>1.155</v>
      </c>
      <c r="I13" s="45">
        <v>3.74</v>
      </c>
      <c r="J13" s="54">
        <v>7.59</v>
      </c>
    </row>
    <row r="14" spans="1:10" ht="30" x14ac:dyDescent="0.25">
      <c r="A14" s="40"/>
      <c r="B14" s="37" t="s">
        <v>15</v>
      </c>
      <c r="C14" s="52">
        <v>55</v>
      </c>
      <c r="D14" s="49" t="s">
        <v>73</v>
      </c>
      <c r="E14" s="43">
        <v>260</v>
      </c>
      <c r="F14" s="46">
        <v>18.309999999999999</v>
      </c>
      <c r="G14" s="46">
        <v>193.5</v>
      </c>
      <c r="H14" s="46">
        <v>5.23</v>
      </c>
      <c r="I14" s="46">
        <v>6.28</v>
      </c>
      <c r="J14" s="55">
        <v>29</v>
      </c>
    </row>
    <row r="15" spans="1:10" x14ac:dyDescent="0.25">
      <c r="A15" s="40"/>
      <c r="B15" s="37" t="s">
        <v>16</v>
      </c>
      <c r="C15" s="52">
        <v>12</v>
      </c>
      <c r="D15" s="49" t="s">
        <v>74</v>
      </c>
      <c r="E15" s="43">
        <v>90</v>
      </c>
      <c r="F15" s="46">
        <v>25.3</v>
      </c>
      <c r="G15" s="46">
        <v>198.9</v>
      </c>
      <c r="H15" s="46">
        <v>10.69</v>
      </c>
      <c r="I15" s="46">
        <v>12.63</v>
      </c>
      <c r="J15" s="55">
        <v>10.79</v>
      </c>
    </row>
    <row r="16" spans="1:10" x14ac:dyDescent="0.25">
      <c r="A16" s="40"/>
      <c r="B16" s="37" t="s">
        <v>17</v>
      </c>
      <c r="C16" s="52">
        <v>71</v>
      </c>
      <c r="D16" s="49" t="s">
        <v>75</v>
      </c>
      <c r="E16" s="43">
        <v>150</v>
      </c>
      <c r="F16" s="46">
        <v>11.87</v>
      </c>
      <c r="G16" s="46">
        <v>124.5</v>
      </c>
      <c r="H16" s="46">
        <v>3</v>
      </c>
      <c r="I16" s="46">
        <v>5.4</v>
      </c>
      <c r="J16" s="55">
        <v>15.9</v>
      </c>
    </row>
    <row r="17" spans="1:10" x14ac:dyDescent="0.25">
      <c r="A17" s="40"/>
      <c r="B17" s="37" t="s">
        <v>30</v>
      </c>
      <c r="C17" s="52">
        <v>25</v>
      </c>
      <c r="D17" s="49" t="s">
        <v>47</v>
      </c>
      <c r="E17" s="43">
        <v>200</v>
      </c>
      <c r="F17" s="46">
        <v>10.55</v>
      </c>
      <c r="G17" s="46">
        <v>136</v>
      </c>
      <c r="H17" s="46">
        <v>0.6</v>
      </c>
      <c r="I17" s="46">
        <v>0</v>
      </c>
      <c r="J17" s="55">
        <v>33</v>
      </c>
    </row>
    <row r="18" spans="1:10" x14ac:dyDescent="0.25">
      <c r="A18" s="40"/>
      <c r="B18" s="37" t="s">
        <v>21</v>
      </c>
      <c r="C18" s="52" t="s">
        <v>24</v>
      </c>
      <c r="D18" s="49" t="s">
        <v>31</v>
      </c>
      <c r="E18" s="43">
        <v>32</v>
      </c>
      <c r="F18" s="46">
        <v>1.71</v>
      </c>
      <c r="G18" s="46">
        <v>66.56</v>
      </c>
      <c r="H18" s="46">
        <v>2.56</v>
      </c>
      <c r="I18" s="46">
        <v>0.48000000000000004</v>
      </c>
      <c r="J18" s="55">
        <v>12.127999999999998</v>
      </c>
    </row>
    <row r="19" spans="1:10" ht="15.75" thickBot="1" x14ac:dyDescent="0.3">
      <c r="A19" s="41"/>
      <c r="B19" s="27" t="s">
        <v>18</v>
      </c>
      <c r="C19" s="53" t="s">
        <v>24</v>
      </c>
      <c r="D19" s="50" t="s">
        <v>25</v>
      </c>
      <c r="E19" s="44">
        <v>31</v>
      </c>
      <c r="F19" s="47">
        <v>1.28</v>
      </c>
      <c r="G19" s="47">
        <v>62</v>
      </c>
      <c r="H19" s="47">
        <v>1.5189999999999999</v>
      </c>
      <c r="I19" s="47">
        <v>0.30999999999999994</v>
      </c>
      <c r="J19" s="56">
        <v>13.888</v>
      </c>
    </row>
    <row r="20" spans="1:10" x14ac:dyDescent="0.25">
      <c r="A20" s="38" t="s">
        <v>10</v>
      </c>
      <c r="B20" s="39" t="s">
        <v>11</v>
      </c>
      <c r="C20" s="51">
        <v>46</v>
      </c>
      <c r="D20" s="48" t="s">
        <v>69</v>
      </c>
      <c r="E20" s="42">
        <v>200</v>
      </c>
      <c r="F20" s="45">
        <v>12.51</v>
      </c>
      <c r="G20" s="45">
        <v>193.84</v>
      </c>
      <c r="H20" s="45">
        <v>5.21</v>
      </c>
      <c r="I20" s="45">
        <v>7.16</v>
      </c>
      <c r="J20" s="54">
        <v>27.84</v>
      </c>
    </row>
    <row r="21" spans="1:10" x14ac:dyDescent="0.25">
      <c r="A21" s="40"/>
      <c r="B21" s="37" t="s">
        <v>12</v>
      </c>
      <c r="C21" s="52">
        <v>36</v>
      </c>
      <c r="D21" s="49" t="s">
        <v>70</v>
      </c>
      <c r="E21" s="43">
        <v>200</v>
      </c>
      <c r="F21" s="46">
        <v>11.8</v>
      </c>
      <c r="G21" s="46">
        <v>150.80000000000001</v>
      </c>
      <c r="H21" s="46">
        <v>3.76</v>
      </c>
      <c r="I21" s="46">
        <v>3.2</v>
      </c>
      <c r="J21" s="55">
        <v>26.74</v>
      </c>
    </row>
    <row r="22" spans="1:10" x14ac:dyDescent="0.25">
      <c r="A22" s="40"/>
      <c r="B22" s="37" t="s">
        <v>20</v>
      </c>
      <c r="C22" s="52" t="s">
        <v>24</v>
      </c>
      <c r="D22" s="49" t="s">
        <v>25</v>
      </c>
      <c r="E22" s="43">
        <v>37</v>
      </c>
      <c r="F22" s="46">
        <v>1.53</v>
      </c>
      <c r="G22" s="46">
        <v>74</v>
      </c>
      <c r="H22" s="46">
        <f>0.98*37/20</f>
        <v>1.8129999999999999</v>
      </c>
      <c r="I22" s="46">
        <f>0.2*37/20</f>
        <v>0.37</v>
      </c>
      <c r="J22" s="55">
        <f>8.95*37/20</f>
        <v>16.557499999999997</v>
      </c>
    </row>
    <row r="23" spans="1:10" x14ac:dyDescent="0.25">
      <c r="A23" s="40"/>
      <c r="B23" s="29"/>
      <c r="C23" s="52" t="s">
        <v>24</v>
      </c>
      <c r="D23" s="49" t="s">
        <v>31</v>
      </c>
      <c r="E23" s="43">
        <v>38</v>
      </c>
      <c r="F23" s="46">
        <v>2.92</v>
      </c>
      <c r="G23" s="46">
        <v>79.040000000000006</v>
      </c>
      <c r="H23" s="46">
        <f>1.6*38/20</f>
        <v>3.04</v>
      </c>
      <c r="I23" s="46">
        <f>0.03*38/20</f>
        <v>5.6999999999999995E-2</v>
      </c>
      <c r="J23" s="55">
        <f>8.02*38/20</f>
        <v>15.238</v>
      </c>
    </row>
    <row r="24" spans="1:10" x14ac:dyDescent="0.25">
      <c r="A24" s="40"/>
      <c r="B24" s="30" t="s">
        <v>26</v>
      </c>
      <c r="C24" s="34">
        <v>3</v>
      </c>
      <c r="D24" s="33" t="s">
        <v>27</v>
      </c>
      <c r="E24" s="31">
        <v>12</v>
      </c>
      <c r="F24" s="32">
        <v>8.4499999999999993</v>
      </c>
      <c r="G24" s="32">
        <f>64.72*1.2</f>
        <v>77.664000000000001</v>
      </c>
      <c r="H24" s="32">
        <f>0.08*1.2</f>
        <v>9.6000000000000002E-2</v>
      </c>
      <c r="I24" s="32">
        <f>7.15*1.2</f>
        <v>8.58</v>
      </c>
      <c r="J24" s="35">
        <f>0.12*1.2</f>
        <v>0.14399999999999999</v>
      </c>
    </row>
    <row r="25" spans="1:10" x14ac:dyDescent="0.25">
      <c r="A25" s="40"/>
      <c r="B25" s="30"/>
      <c r="C25" s="52">
        <v>6</v>
      </c>
      <c r="D25" s="49" t="s">
        <v>28</v>
      </c>
      <c r="E25" s="43">
        <v>25</v>
      </c>
      <c r="F25" s="46">
        <v>15.48</v>
      </c>
      <c r="G25" s="46">
        <v>75</v>
      </c>
      <c r="H25" s="46">
        <f>1.36*25/12</f>
        <v>2.8333333333333335</v>
      </c>
      <c r="I25" s="46">
        <f>2.76*25/12</f>
        <v>5.75</v>
      </c>
      <c r="J25" s="46">
        <f>0.31*25/12</f>
        <v>0.64583333333333337</v>
      </c>
    </row>
    <row r="26" spans="1:10" ht="15.75" thickBot="1" x14ac:dyDescent="0.3">
      <c r="A26" s="40"/>
      <c r="B26" s="30"/>
      <c r="C26" s="52" t="s">
        <v>24</v>
      </c>
      <c r="D26" s="33" t="s">
        <v>43</v>
      </c>
      <c r="E26" s="31">
        <v>38</v>
      </c>
      <c r="F26" s="32">
        <v>4.16</v>
      </c>
      <c r="G26" s="32">
        <v>144.74</v>
      </c>
      <c r="H26" s="32">
        <v>3.53</v>
      </c>
      <c r="I26" s="32">
        <v>9.8800000000000008</v>
      </c>
      <c r="J26" s="35">
        <v>3.53</v>
      </c>
    </row>
    <row r="27" spans="1:10" x14ac:dyDescent="0.25">
      <c r="A27" s="38" t="s">
        <v>51</v>
      </c>
      <c r="B27" s="57"/>
      <c r="C27" s="51">
        <v>63</v>
      </c>
      <c r="D27" s="48" t="s">
        <v>71</v>
      </c>
      <c r="E27" s="42">
        <v>200</v>
      </c>
      <c r="F27" s="45">
        <v>21.24</v>
      </c>
      <c r="G27" s="45">
        <v>106</v>
      </c>
      <c r="H27" s="45">
        <v>5.8</v>
      </c>
      <c r="I27" s="45">
        <v>5</v>
      </c>
      <c r="J27" s="54">
        <v>8</v>
      </c>
    </row>
    <row r="28" spans="1:10" ht="15.75" thickBot="1" x14ac:dyDescent="0.3">
      <c r="A28" s="41"/>
      <c r="B28" s="36"/>
      <c r="C28" s="53" t="s">
        <v>24</v>
      </c>
      <c r="D28" s="50" t="s">
        <v>72</v>
      </c>
      <c r="E28" s="44">
        <v>150</v>
      </c>
      <c r="F28" s="47">
        <v>21.12</v>
      </c>
      <c r="G28" s="47">
        <v>144</v>
      </c>
      <c r="H28" s="47">
        <f>2.25*150/150</f>
        <v>2.25</v>
      </c>
      <c r="I28" s="47">
        <f>0.75*150/150</f>
        <v>0.75</v>
      </c>
      <c r="J28" s="56">
        <f>31.5*150/150</f>
        <v>31.5</v>
      </c>
    </row>
    <row r="29" spans="1:10" x14ac:dyDescent="0.25">
      <c r="A29" s="38" t="s">
        <v>13</v>
      </c>
      <c r="B29" s="39" t="s">
        <v>14</v>
      </c>
      <c r="C29" s="51">
        <v>59</v>
      </c>
      <c r="D29" s="48" t="s">
        <v>29</v>
      </c>
      <c r="E29" s="42">
        <v>100</v>
      </c>
      <c r="F29" s="45">
        <v>6.99</v>
      </c>
      <c r="G29" s="45">
        <f>75*100/60</f>
        <v>125</v>
      </c>
      <c r="H29" s="45">
        <f>1.26*100/60</f>
        <v>2.1</v>
      </c>
      <c r="I29" s="45">
        <f>4.08*100/60</f>
        <v>6.8</v>
      </c>
      <c r="J29" s="54">
        <f>8.28*100/60</f>
        <v>13.799999999999999</v>
      </c>
    </row>
    <row r="30" spans="1:10" ht="30" x14ac:dyDescent="0.25">
      <c r="A30" s="40"/>
      <c r="B30" s="37" t="s">
        <v>15</v>
      </c>
      <c r="C30" s="52">
        <v>55</v>
      </c>
      <c r="D30" s="49" t="s">
        <v>73</v>
      </c>
      <c r="E30" s="43">
        <f>175+65+20</f>
        <v>260</v>
      </c>
      <c r="F30" s="46">
        <v>18.309999999999999</v>
      </c>
      <c r="G30" s="46">
        <v>193.5</v>
      </c>
      <c r="H30" s="46">
        <v>5.23</v>
      </c>
      <c r="I30" s="46">
        <v>6.28</v>
      </c>
      <c r="J30" s="55">
        <v>29</v>
      </c>
    </row>
    <row r="31" spans="1:10" x14ac:dyDescent="0.25">
      <c r="A31" s="40"/>
      <c r="B31" s="37" t="s">
        <v>16</v>
      </c>
      <c r="C31" s="52">
        <v>12</v>
      </c>
      <c r="D31" s="49" t="s">
        <v>74</v>
      </c>
      <c r="E31" s="43">
        <v>100</v>
      </c>
      <c r="F31" s="46">
        <v>28.03</v>
      </c>
      <c r="G31" s="46">
        <v>221</v>
      </c>
      <c r="H31" s="46">
        <f>10.69*100/90</f>
        <v>11.877777777777778</v>
      </c>
      <c r="I31" s="46">
        <f>12.63*100/90</f>
        <v>14.033333333333333</v>
      </c>
      <c r="J31" s="55">
        <f>10.79*100/90</f>
        <v>11.988888888888889</v>
      </c>
    </row>
    <row r="32" spans="1:10" x14ac:dyDescent="0.25">
      <c r="A32" s="40"/>
      <c r="B32" s="37" t="s">
        <v>17</v>
      </c>
      <c r="C32" s="52">
        <v>71</v>
      </c>
      <c r="D32" s="49" t="s">
        <v>75</v>
      </c>
      <c r="E32" s="43">
        <v>180</v>
      </c>
      <c r="F32" s="46">
        <v>17</v>
      </c>
      <c r="G32" s="46">
        <v>149.4</v>
      </c>
      <c r="H32" s="46">
        <f>3*180/150</f>
        <v>3.6</v>
      </c>
      <c r="I32" s="46">
        <f>5.4*180/150</f>
        <v>6.48</v>
      </c>
      <c r="J32" s="55">
        <f>15.9*180/150</f>
        <v>19.079999999999998</v>
      </c>
    </row>
    <row r="33" spans="1:10" x14ac:dyDescent="0.25">
      <c r="A33" s="40"/>
      <c r="B33" s="37" t="s">
        <v>30</v>
      </c>
      <c r="C33" s="52">
        <v>25</v>
      </c>
      <c r="D33" s="49" t="s">
        <v>47</v>
      </c>
      <c r="E33" s="43">
        <v>200</v>
      </c>
      <c r="F33" s="46">
        <v>10.55</v>
      </c>
      <c r="G33" s="46">
        <v>136</v>
      </c>
      <c r="H33" s="46">
        <v>0.6</v>
      </c>
      <c r="I33" s="46">
        <v>0</v>
      </c>
      <c r="J33" s="55">
        <v>33</v>
      </c>
    </row>
    <row r="34" spans="1:10" x14ac:dyDescent="0.25">
      <c r="A34" s="40"/>
      <c r="B34" s="37" t="s">
        <v>21</v>
      </c>
      <c r="C34" s="52" t="s">
        <v>24</v>
      </c>
      <c r="D34" s="49" t="s">
        <v>31</v>
      </c>
      <c r="E34" s="43">
        <v>41</v>
      </c>
      <c r="F34" s="46">
        <v>2.19</v>
      </c>
      <c r="G34" s="46">
        <v>85.28</v>
      </c>
      <c r="H34" s="46">
        <f>2.4*41/30</f>
        <v>3.28</v>
      </c>
      <c r="I34" s="46">
        <f>0.45*41/30</f>
        <v>0.61499999999999999</v>
      </c>
      <c r="J34" s="55">
        <f>11.37*41/30</f>
        <v>15.538999999999998</v>
      </c>
    </row>
    <row r="35" spans="1:10" ht="15.75" thickBot="1" x14ac:dyDescent="0.3">
      <c r="A35" s="41"/>
      <c r="B35" s="27" t="s">
        <v>18</v>
      </c>
      <c r="C35" s="53" t="s">
        <v>24</v>
      </c>
      <c r="D35" s="50" t="s">
        <v>25</v>
      </c>
      <c r="E35" s="44">
        <v>40</v>
      </c>
      <c r="F35" s="47">
        <v>1.65</v>
      </c>
      <c r="G35" s="47">
        <v>80</v>
      </c>
      <c r="H35" s="47">
        <f>1.47*40/30</f>
        <v>1.96</v>
      </c>
      <c r="I35" s="47">
        <f>0.3*40/30</f>
        <v>0.4</v>
      </c>
      <c r="J35" s="56">
        <f>13.44*40/30</f>
        <v>17.920000000000002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8.8554687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8.85546875" style="28"/>
  </cols>
  <sheetData>
    <row r="1" spans="1:10" x14ac:dyDescent="0.25">
      <c r="A1" s="28" t="s">
        <v>0</v>
      </c>
      <c r="B1" s="65" t="s">
        <v>76</v>
      </c>
      <c r="C1" s="66"/>
      <c r="D1" s="67"/>
      <c r="E1" s="28" t="s">
        <v>19</v>
      </c>
      <c r="F1" s="12"/>
      <c r="I1" s="28" t="s">
        <v>1</v>
      </c>
      <c r="J1" s="11">
        <v>44342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18</v>
      </c>
      <c r="D4" s="48" t="s">
        <v>56</v>
      </c>
      <c r="E4" s="42">
        <v>140</v>
      </c>
      <c r="F4" s="45">
        <v>28.45</v>
      </c>
      <c r="G4" s="45">
        <v>266.7</v>
      </c>
      <c r="H4" s="45">
        <f>13.06*140/200</f>
        <v>9.1420000000000012</v>
      </c>
      <c r="I4" s="45">
        <f>18.57*140/200</f>
        <v>12.999000000000001</v>
      </c>
      <c r="J4" s="54">
        <f>36.51*140/200</f>
        <v>25.556999999999999</v>
      </c>
    </row>
    <row r="5" spans="1:10" x14ac:dyDescent="0.25">
      <c r="A5" s="40" t="s">
        <v>49</v>
      </c>
      <c r="B5" s="37" t="s">
        <v>12</v>
      </c>
      <c r="C5" s="52">
        <v>57</v>
      </c>
      <c r="D5" s="49" t="s">
        <v>41</v>
      </c>
      <c r="E5" s="43">
        <v>200</v>
      </c>
      <c r="F5" s="46">
        <v>1.42</v>
      </c>
      <c r="G5" s="46">
        <v>60</v>
      </c>
      <c r="H5" s="46">
        <v>0.1</v>
      </c>
      <c r="I5" s="46">
        <v>0</v>
      </c>
      <c r="J5" s="55">
        <v>5</v>
      </c>
    </row>
    <row r="6" spans="1:10" x14ac:dyDescent="0.25">
      <c r="A6" s="40"/>
      <c r="B6" s="37" t="s">
        <v>20</v>
      </c>
      <c r="C6" s="52" t="s">
        <v>24</v>
      </c>
      <c r="D6" s="49" t="s">
        <v>58</v>
      </c>
      <c r="E6" s="43">
        <v>28</v>
      </c>
      <c r="F6" s="46">
        <v>2.17</v>
      </c>
      <c r="G6" s="46">
        <v>60.32</v>
      </c>
      <c r="H6" s="46">
        <f>1.6*28/20</f>
        <v>2.2400000000000002</v>
      </c>
      <c r="I6" s="46">
        <f>0.03*28/20</f>
        <v>4.1999999999999996E-2</v>
      </c>
      <c r="J6" s="55">
        <f>8.02*28/20</f>
        <v>11.228</v>
      </c>
    </row>
    <row r="7" spans="1:10" x14ac:dyDescent="0.25">
      <c r="A7" s="40"/>
      <c r="B7" s="30" t="s">
        <v>26</v>
      </c>
      <c r="C7" s="34">
        <v>3</v>
      </c>
      <c r="D7" s="33" t="s">
        <v>27</v>
      </c>
      <c r="E7" s="31">
        <v>10</v>
      </c>
      <c r="F7" s="32">
        <v>7.36</v>
      </c>
      <c r="G7" s="32">
        <v>64.72</v>
      </c>
      <c r="H7" s="32">
        <v>0.08</v>
      </c>
      <c r="I7" s="32">
        <v>7.15</v>
      </c>
      <c r="J7" s="35">
        <v>0.12</v>
      </c>
    </row>
    <row r="8" spans="1:10" x14ac:dyDescent="0.25">
      <c r="A8" s="58"/>
      <c r="B8" s="29"/>
      <c r="C8" s="52">
        <v>6</v>
      </c>
      <c r="D8" s="49" t="s">
        <v>28</v>
      </c>
      <c r="E8" s="43">
        <v>12</v>
      </c>
      <c r="F8" s="46">
        <v>7.3</v>
      </c>
      <c r="G8" s="46">
        <v>36</v>
      </c>
      <c r="H8" s="46">
        <f>1.36*12/12</f>
        <v>1.36</v>
      </c>
      <c r="I8" s="46">
        <f>2.76*12/12</f>
        <v>2.76</v>
      </c>
      <c r="J8" s="46">
        <f>0.31*12/12</f>
        <v>0.31</v>
      </c>
    </row>
    <row r="9" spans="1:10" ht="15.75" thickBot="1" x14ac:dyDescent="0.3">
      <c r="A9" s="40"/>
      <c r="B9" s="29"/>
      <c r="C9" s="52" t="s">
        <v>24</v>
      </c>
      <c r="D9" s="49" t="s">
        <v>43</v>
      </c>
      <c r="E9" s="43">
        <v>19</v>
      </c>
      <c r="F9" s="46">
        <v>1.91</v>
      </c>
      <c r="G9" s="46">
        <v>72.37</v>
      </c>
      <c r="H9" s="46">
        <f>3.53*19/38</f>
        <v>1.7649999999999999</v>
      </c>
      <c r="I9" s="46">
        <f>9.88*19/38</f>
        <v>4.9400000000000004</v>
      </c>
      <c r="J9" s="46">
        <f>3.53*19/38</f>
        <v>1.7649999999999999</v>
      </c>
    </row>
    <row r="10" spans="1:10" x14ac:dyDescent="0.25">
      <c r="A10" s="38" t="s">
        <v>51</v>
      </c>
      <c r="B10" s="57"/>
      <c r="C10" s="51">
        <v>2</v>
      </c>
      <c r="D10" s="48" t="s">
        <v>77</v>
      </c>
      <c r="E10" s="42">
        <v>200</v>
      </c>
      <c r="F10" s="45">
        <v>10.210000000000001</v>
      </c>
      <c r="G10" s="45">
        <v>151.80000000000001</v>
      </c>
      <c r="H10" s="45">
        <v>3.58</v>
      </c>
      <c r="I10" s="45">
        <v>2.68</v>
      </c>
      <c r="J10" s="54">
        <v>28.34</v>
      </c>
    </row>
    <row r="11" spans="1:10" x14ac:dyDescent="0.25">
      <c r="A11" s="40" t="s">
        <v>49</v>
      </c>
      <c r="B11" s="29"/>
      <c r="C11" s="52" t="s">
        <v>24</v>
      </c>
      <c r="D11" s="49" t="s">
        <v>78</v>
      </c>
      <c r="E11" s="43">
        <v>21</v>
      </c>
      <c r="F11" s="46">
        <v>7.41</v>
      </c>
      <c r="G11" s="46">
        <v>66.739999999999995</v>
      </c>
      <c r="H11" s="46">
        <f>1.61*21/30</f>
        <v>1.127</v>
      </c>
      <c r="I11" s="46">
        <f>2.1*21/30</f>
        <v>1.47</v>
      </c>
      <c r="J11" s="55">
        <f>17.51*21/30</f>
        <v>12.257000000000001</v>
      </c>
    </row>
    <row r="12" spans="1:10" x14ac:dyDescent="0.25">
      <c r="A12" s="40"/>
      <c r="B12" s="30"/>
      <c r="C12" s="34">
        <v>3</v>
      </c>
      <c r="D12" s="33" t="s">
        <v>27</v>
      </c>
      <c r="E12" s="31">
        <v>8</v>
      </c>
      <c r="F12" s="32">
        <v>5.89</v>
      </c>
      <c r="G12" s="32">
        <v>51.76</v>
      </c>
      <c r="H12" s="32">
        <f>0.08*0.8</f>
        <v>6.4000000000000001E-2</v>
      </c>
      <c r="I12" s="32">
        <f>7.15*0.8</f>
        <v>5.7200000000000006</v>
      </c>
      <c r="J12" s="35">
        <f>0.12*0.8</f>
        <v>9.6000000000000002E-2</v>
      </c>
    </row>
    <row r="13" spans="1:10" x14ac:dyDescent="0.25">
      <c r="A13" s="40"/>
      <c r="B13" s="30"/>
      <c r="C13" s="34">
        <v>38</v>
      </c>
      <c r="D13" s="33" t="s">
        <v>79</v>
      </c>
      <c r="E13" s="31">
        <v>50</v>
      </c>
      <c r="F13" s="32">
        <v>10.92</v>
      </c>
      <c r="G13" s="32">
        <v>78.75</v>
      </c>
      <c r="H13" s="46">
        <f>5.1*50/40</f>
        <v>6.3749999999999991</v>
      </c>
      <c r="I13" s="46">
        <f>4.6*50/40</f>
        <v>5.7499999999999991</v>
      </c>
      <c r="J13" s="55">
        <f>0.3*50/40</f>
        <v>0.375</v>
      </c>
    </row>
    <row r="14" spans="1:10" ht="15.75" thickBot="1" x14ac:dyDescent="0.3">
      <c r="A14" s="41"/>
      <c r="B14" s="36"/>
      <c r="C14" s="53" t="s">
        <v>24</v>
      </c>
      <c r="D14" s="50" t="s">
        <v>58</v>
      </c>
      <c r="E14" s="44">
        <v>26</v>
      </c>
      <c r="F14" s="47">
        <v>2.0099999999999998</v>
      </c>
      <c r="G14" s="47">
        <f>41.6*26/20</f>
        <v>54.080000000000005</v>
      </c>
      <c r="H14" s="47">
        <f>1.6*26/20</f>
        <v>2.08</v>
      </c>
      <c r="I14" s="47">
        <f>0.03*26/20</f>
        <v>3.9E-2</v>
      </c>
      <c r="J14" s="56">
        <f>8.02*26/20</f>
        <v>10.425999999999998</v>
      </c>
    </row>
    <row r="15" spans="1:10" x14ac:dyDescent="0.25">
      <c r="A15" s="40" t="s">
        <v>13</v>
      </c>
      <c r="B15" s="59" t="s">
        <v>14</v>
      </c>
      <c r="C15" s="60">
        <v>59</v>
      </c>
      <c r="D15" s="61" t="s">
        <v>80</v>
      </c>
      <c r="E15" s="62">
        <v>35</v>
      </c>
      <c r="F15" s="63">
        <v>2.76</v>
      </c>
      <c r="G15" s="63">
        <v>46.2</v>
      </c>
      <c r="H15" s="63">
        <f>1.38*35/60</f>
        <v>0.80499999999999994</v>
      </c>
      <c r="I15" s="63">
        <f>4.08*35/60</f>
        <v>2.3800000000000003</v>
      </c>
      <c r="J15" s="64">
        <f>9.24*35/60</f>
        <v>5.3900000000000006</v>
      </c>
    </row>
    <row r="16" spans="1:10" x14ac:dyDescent="0.25">
      <c r="A16" s="40" t="s">
        <v>49</v>
      </c>
      <c r="B16" s="37" t="s">
        <v>15</v>
      </c>
      <c r="C16" s="52">
        <v>28</v>
      </c>
      <c r="D16" s="49" t="s">
        <v>81</v>
      </c>
      <c r="E16" s="43">
        <v>255</v>
      </c>
      <c r="F16" s="46">
        <v>14.71</v>
      </c>
      <c r="G16" s="46">
        <v>148.25</v>
      </c>
      <c r="H16" s="46">
        <v>2.2200000000000002</v>
      </c>
      <c r="I16" s="46">
        <v>6.35</v>
      </c>
      <c r="J16" s="55">
        <v>20.66</v>
      </c>
    </row>
    <row r="17" spans="1:10" x14ac:dyDescent="0.25">
      <c r="A17" s="40"/>
      <c r="B17" s="37" t="s">
        <v>16</v>
      </c>
      <c r="C17" s="52">
        <v>58</v>
      </c>
      <c r="D17" s="49" t="s">
        <v>37</v>
      </c>
      <c r="E17" s="43">
        <v>90</v>
      </c>
      <c r="F17" s="46">
        <v>28.04</v>
      </c>
      <c r="G17" s="46">
        <v>257.39999999999998</v>
      </c>
      <c r="H17" s="46">
        <v>16.02</v>
      </c>
      <c r="I17" s="46">
        <v>15.75</v>
      </c>
      <c r="J17" s="55">
        <v>12.87</v>
      </c>
    </row>
    <row r="18" spans="1:10" x14ac:dyDescent="0.25">
      <c r="A18" s="40"/>
      <c r="B18" s="37" t="s">
        <v>17</v>
      </c>
      <c r="C18" s="52">
        <v>16</v>
      </c>
      <c r="D18" s="49" t="s">
        <v>82</v>
      </c>
      <c r="E18" s="43">
        <v>150</v>
      </c>
      <c r="F18" s="46">
        <v>13.84</v>
      </c>
      <c r="G18" s="46">
        <v>150</v>
      </c>
      <c r="H18" s="46">
        <f>3.24</f>
        <v>3.24</v>
      </c>
      <c r="I18" s="46">
        <f>7.58</f>
        <v>7.58</v>
      </c>
      <c r="J18" s="55">
        <f>18.87</f>
        <v>18.87</v>
      </c>
    </row>
    <row r="19" spans="1:10" x14ac:dyDescent="0.25">
      <c r="A19" s="40"/>
      <c r="B19" s="37" t="s">
        <v>30</v>
      </c>
      <c r="C19" s="52">
        <v>25</v>
      </c>
      <c r="D19" s="49" t="s">
        <v>47</v>
      </c>
      <c r="E19" s="43">
        <v>200</v>
      </c>
      <c r="F19" s="46">
        <v>10.55</v>
      </c>
      <c r="G19" s="46">
        <v>136</v>
      </c>
      <c r="H19" s="46">
        <v>0.6</v>
      </c>
      <c r="I19" s="46">
        <v>0</v>
      </c>
      <c r="J19" s="55">
        <v>33</v>
      </c>
    </row>
    <row r="20" spans="1:10" x14ac:dyDescent="0.25">
      <c r="A20" s="40"/>
      <c r="B20" s="37" t="s">
        <v>21</v>
      </c>
      <c r="C20" s="52" t="s">
        <v>24</v>
      </c>
      <c r="D20" s="49" t="s">
        <v>31</v>
      </c>
      <c r="E20" s="43">
        <v>32</v>
      </c>
      <c r="F20" s="46">
        <v>1.71</v>
      </c>
      <c r="G20" s="46">
        <v>66.56</v>
      </c>
      <c r="H20" s="46">
        <f>2.4*32/30</f>
        <v>2.56</v>
      </c>
      <c r="I20" s="46">
        <f>0.45*32/30</f>
        <v>0.48000000000000004</v>
      </c>
      <c r="J20" s="55">
        <f>11.37*32/30</f>
        <v>12.127999999999998</v>
      </c>
    </row>
    <row r="21" spans="1:10" ht="15.75" thickBot="1" x14ac:dyDescent="0.3">
      <c r="A21" s="40"/>
      <c r="B21" s="37" t="s">
        <v>18</v>
      </c>
      <c r="C21" s="52" t="s">
        <v>24</v>
      </c>
      <c r="D21" s="49" t="s">
        <v>25</v>
      </c>
      <c r="E21" s="43">
        <v>32</v>
      </c>
      <c r="F21" s="46">
        <v>1.29</v>
      </c>
      <c r="G21" s="46">
        <v>64</v>
      </c>
      <c r="H21" s="46">
        <f>1.47*32/30</f>
        <v>1.5680000000000001</v>
      </c>
      <c r="I21" s="46">
        <f>0.3*32/30</f>
        <v>0.32</v>
      </c>
      <c r="J21" s="55">
        <f>13.44*32/30</f>
        <v>14.336</v>
      </c>
    </row>
    <row r="22" spans="1:10" x14ac:dyDescent="0.25">
      <c r="A22" s="38" t="s">
        <v>10</v>
      </c>
      <c r="B22" s="39" t="s">
        <v>11</v>
      </c>
      <c r="C22" s="51">
        <v>18</v>
      </c>
      <c r="D22" s="48" t="s">
        <v>56</v>
      </c>
      <c r="E22" s="42">
        <v>170</v>
      </c>
      <c r="F22" s="45">
        <v>34.54</v>
      </c>
      <c r="G22" s="45">
        <v>323.85000000000002</v>
      </c>
      <c r="H22" s="45">
        <f>13.06*170/200</f>
        <v>11.101000000000001</v>
      </c>
      <c r="I22" s="45">
        <f>18.57*170/200</f>
        <v>15.784500000000001</v>
      </c>
      <c r="J22" s="54">
        <f>36.51*170/200</f>
        <v>31.0335</v>
      </c>
    </row>
    <row r="23" spans="1:10" x14ac:dyDescent="0.25">
      <c r="A23" s="40" t="s">
        <v>68</v>
      </c>
      <c r="B23" s="37" t="s">
        <v>12</v>
      </c>
      <c r="C23" s="52">
        <v>57</v>
      </c>
      <c r="D23" s="49" t="s">
        <v>41</v>
      </c>
      <c r="E23" s="43">
        <v>200</v>
      </c>
      <c r="F23" s="46">
        <v>1.42</v>
      </c>
      <c r="G23" s="46">
        <v>60</v>
      </c>
      <c r="H23" s="46">
        <v>0.1</v>
      </c>
      <c r="I23" s="46">
        <v>0</v>
      </c>
      <c r="J23" s="55">
        <v>5</v>
      </c>
    </row>
    <row r="24" spans="1:10" x14ac:dyDescent="0.25">
      <c r="A24" s="40"/>
      <c r="B24" s="37" t="s">
        <v>20</v>
      </c>
      <c r="C24" s="52" t="s">
        <v>24</v>
      </c>
      <c r="D24" s="49" t="s">
        <v>58</v>
      </c>
      <c r="E24" s="43">
        <v>30</v>
      </c>
      <c r="F24" s="46">
        <v>2.2799999999999998</v>
      </c>
      <c r="G24" s="46">
        <v>62.4</v>
      </c>
      <c r="H24" s="46">
        <f>1.6*30/20</f>
        <v>2.4</v>
      </c>
      <c r="I24" s="46">
        <f>0.03*30/20</f>
        <v>4.4999999999999998E-2</v>
      </c>
      <c r="J24" s="55">
        <f>8.02*30/20</f>
        <v>12.03</v>
      </c>
    </row>
    <row r="25" spans="1:10" x14ac:dyDescent="0.25">
      <c r="A25" s="40"/>
      <c r="B25" s="30" t="s">
        <v>26</v>
      </c>
      <c r="C25" s="34">
        <v>3</v>
      </c>
      <c r="D25" s="33" t="s">
        <v>27</v>
      </c>
      <c r="E25" s="31">
        <v>10</v>
      </c>
      <c r="F25" s="32">
        <v>7.36</v>
      </c>
      <c r="G25" s="32">
        <v>64.72</v>
      </c>
      <c r="H25" s="32">
        <v>0.08</v>
      </c>
      <c r="I25" s="32">
        <v>7.15</v>
      </c>
      <c r="J25" s="35">
        <v>0.12</v>
      </c>
    </row>
    <row r="26" spans="1:10" x14ac:dyDescent="0.25">
      <c r="A26" s="58"/>
      <c r="B26" s="29"/>
      <c r="C26" s="52">
        <v>6</v>
      </c>
      <c r="D26" s="49" t="s">
        <v>28</v>
      </c>
      <c r="E26" s="43">
        <v>15</v>
      </c>
      <c r="F26" s="46">
        <v>8.99</v>
      </c>
      <c r="G26" s="46">
        <v>45</v>
      </c>
      <c r="H26" s="46">
        <f>1.36*15/12</f>
        <v>1.7000000000000002</v>
      </c>
      <c r="I26" s="46">
        <f>2.76*15/12</f>
        <v>3.4499999999999997</v>
      </c>
      <c r="J26" s="46">
        <f>0.31*15/12</f>
        <v>0.38750000000000001</v>
      </c>
    </row>
    <row r="27" spans="1:10" ht="15.75" thickBot="1" x14ac:dyDescent="0.3">
      <c r="A27" s="40"/>
      <c r="B27" s="29"/>
      <c r="C27" s="52" t="s">
        <v>24</v>
      </c>
      <c r="D27" s="49" t="s">
        <v>43</v>
      </c>
      <c r="E27" s="43">
        <v>19</v>
      </c>
      <c r="F27" s="46">
        <v>1.91</v>
      </c>
      <c r="G27" s="46">
        <v>72.37</v>
      </c>
      <c r="H27" s="46">
        <f>3.53*19/38</f>
        <v>1.7649999999999999</v>
      </c>
      <c r="I27" s="46">
        <f>9.88*19/38</f>
        <v>4.9400000000000004</v>
      </c>
      <c r="J27" s="46">
        <f>3.53*19/38</f>
        <v>1.7649999999999999</v>
      </c>
    </row>
    <row r="28" spans="1:10" x14ac:dyDescent="0.25">
      <c r="A28" s="38" t="s">
        <v>51</v>
      </c>
      <c r="B28" s="57"/>
      <c r="C28" s="51">
        <v>2</v>
      </c>
      <c r="D28" s="48" t="s">
        <v>77</v>
      </c>
      <c r="E28" s="42">
        <v>200</v>
      </c>
      <c r="F28" s="45">
        <v>10.210000000000001</v>
      </c>
      <c r="G28" s="45">
        <v>151.80000000000001</v>
      </c>
      <c r="H28" s="45">
        <v>3.58</v>
      </c>
      <c r="I28" s="45">
        <v>2.68</v>
      </c>
      <c r="J28" s="54">
        <v>28.34</v>
      </c>
    </row>
    <row r="29" spans="1:10" x14ac:dyDescent="0.25">
      <c r="A29" s="40" t="s">
        <v>68</v>
      </c>
      <c r="B29" s="29"/>
      <c r="C29" s="52" t="s">
        <v>24</v>
      </c>
      <c r="D29" s="49" t="s">
        <v>78</v>
      </c>
      <c r="E29" s="43">
        <v>21</v>
      </c>
      <c r="F29" s="46">
        <v>7.41</v>
      </c>
      <c r="G29" s="46">
        <v>66.739999999999995</v>
      </c>
      <c r="H29" s="46">
        <f>1.61*21/30</f>
        <v>1.127</v>
      </c>
      <c r="I29" s="46">
        <f>2.1*21/30</f>
        <v>1.47</v>
      </c>
      <c r="J29" s="55">
        <f>17.51*21/30</f>
        <v>12.257000000000001</v>
      </c>
    </row>
    <row r="30" spans="1:10" x14ac:dyDescent="0.25">
      <c r="A30" s="40"/>
      <c r="B30" s="30"/>
      <c r="C30" s="34">
        <v>3</v>
      </c>
      <c r="D30" s="33" t="s">
        <v>27</v>
      </c>
      <c r="E30" s="31">
        <v>15</v>
      </c>
      <c r="F30" s="32">
        <v>11.04</v>
      </c>
      <c r="G30" s="32">
        <v>97.05</v>
      </c>
      <c r="H30" s="32">
        <f>0.08*1.5</f>
        <v>0.12</v>
      </c>
      <c r="I30" s="32">
        <f>7.15*1.5</f>
        <v>10.725000000000001</v>
      </c>
      <c r="J30" s="35">
        <f>0.12*1.5</f>
        <v>0.18</v>
      </c>
    </row>
    <row r="31" spans="1:10" x14ac:dyDescent="0.25">
      <c r="A31" s="40"/>
      <c r="B31" s="30"/>
      <c r="C31" s="34">
        <v>38</v>
      </c>
      <c r="D31" s="33" t="s">
        <v>79</v>
      </c>
      <c r="E31" s="31">
        <v>50</v>
      </c>
      <c r="F31" s="32">
        <v>10.92</v>
      </c>
      <c r="G31" s="32">
        <v>78.75</v>
      </c>
      <c r="H31" s="46">
        <f>5.1*50/40</f>
        <v>6.3749999999999991</v>
      </c>
      <c r="I31" s="46">
        <f>4.6*50/40</f>
        <v>5.7499999999999991</v>
      </c>
      <c r="J31" s="55">
        <f>0.3*50/40</f>
        <v>0.375</v>
      </c>
    </row>
    <row r="32" spans="1:10" ht="15.75" thickBot="1" x14ac:dyDescent="0.3">
      <c r="A32" s="40"/>
      <c r="B32" s="30"/>
      <c r="C32" s="34" t="s">
        <v>24</v>
      </c>
      <c r="D32" s="33" t="s">
        <v>58</v>
      </c>
      <c r="E32" s="31">
        <v>36</v>
      </c>
      <c r="F32" s="32">
        <v>2.78</v>
      </c>
      <c r="G32" s="32">
        <v>74.88</v>
      </c>
      <c r="H32" s="32">
        <f>1.6*36/20</f>
        <v>2.88</v>
      </c>
      <c r="I32" s="32">
        <f>0.03*36/20</f>
        <v>5.4000000000000006E-2</v>
      </c>
      <c r="J32" s="35">
        <f>8.02*36/20</f>
        <v>14.435999999999998</v>
      </c>
    </row>
    <row r="33" spans="1:10" x14ac:dyDescent="0.25">
      <c r="A33" s="38" t="s">
        <v>13</v>
      </c>
      <c r="B33" s="39" t="s">
        <v>14</v>
      </c>
      <c r="C33" s="51">
        <v>59</v>
      </c>
      <c r="D33" s="48" t="s">
        <v>80</v>
      </c>
      <c r="E33" s="42">
        <v>55</v>
      </c>
      <c r="F33" s="45">
        <v>4.37</v>
      </c>
      <c r="G33" s="45">
        <v>72.599999999999994</v>
      </c>
      <c r="H33" s="45">
        <f>1.38*55/60</f>
        <v>1.2649999999999999</v>
      </c>
      <c r="I33" s="45">
        <f>4.08*55/60</f>
        <v>3.74</v>
      </c>
      <c r="J33" s="54">
        <f>9.24*55/60</f>
        <v>8.4700000000000006</v>
      </c>
    </row>
    <row r="34" spans="1:10" x14ac:dyDescent="0.25">
      <c r="A34" s="40" t="s">
        <v>68</v>
      </c>
      <c r="B34" s="37" t="s">
        <v>15</v>
      </c>
      <c r="C34" s="52">
        <v>28</v>
      </c>
      <c r="D34" s="49" t="s">
        <v>81</v>
      </c>
      <c r="E34" s="43">
        <v>255</v>
      </c>
      <c r="F34" s="46">
        <v>14.71</v>
      </c>
      <c r="G34" s="46">
        <v>148.25</v>
      </c>
      <c r="H34" s="46">
        <v>2.2200000000000002</v>
      </c>
      <c r="I34" s="46">
        <v>6.35</v>
      </c>
      <c r="J34" s="55">
        <v>20.66</v>
      </c>
    </row>
    <row r="35" spans="1:10" x14ac:dyDescent="0.25">
      <c r="A35" s="40"/>
      <c r="B35" s="37" t="s">
        <v>16</v>
      </c>
      <c r="C35" s="52">
        <v>58</v>
      </c>
      <c r="D35" s="49" t="s">
        <v>37</v>
      </c>
      <c r="E35" s="43">
        <v>100</v>
      </c>
      <c r="F35" s="46">
        <v>34.869999999999997</v>
      </c>
      <c r="G35" s="46">
        <v>286</v>
      </c>
      <c r="H35" s="46">
        <f>16.02*100/90</f>
        <v>17.8</v>
      </c>
      <c r="I35" s="46">
        <f>15.75*100/90</f>
        <v>17.5</v>
      </c>
      <c r="J35" s="55">
        <f>12.87*100/90</f>
        <v>14.3</v>
      </c>
    </row>
    <row r="36" spans="1:10" x14ac:dyDescent="0.25">
      <c r="A36" s="40"/>
      <c r="B36" s="37" t="s">
        <v>17</v>
      </c>
      <c r="C36" s="52">
        <v>16</v>
      </c>
      <c r="D36" s="49" t="s">
        <v>82</v>
      </c>
      <c r="E36" s="43">
        <v>180</v>
      </c>
      <c r="F36" s="46">
        <v>16.75</v>
      </c>
      <c r="G36" s="46">
        <v>180</v>
      </c>
      <c r="H36" s="46">
        <f>3.24*180/150</f>
        <v>3.8880000000000003</v>
      </c>
      <c r="I36" s="46">
        <f>7.58*180/150</f>
        <v>9.0960000000000001</v>
      </c>
      <c r="J36" s="55">
        <f>18.87*180/150</f>
        <v>22.644000000000002</v>
      </c>
    </row>
    <row r="37" spans="1:10" x14ac:dyDescent="0.25">
      <c r="A37" s="40"/>
      <c r="B37" s="37" t="s">
        <v>30</v>
      </c>
      <c r="C37" s="52">
        <v>25</v>
      </c>
      <c r="D37" s="49" t="s">
        <v>47</v>
      </c>
      <c r="E37" s="43">
        <v>200</v>
      </c>
      <c r="F37" s="46">
        <v>10.55</v>
      </c>
      <c r="G37" s="46">
        <v>136</v>
      </c>
      <c r="H37" s="46">
        <v>0.6</v>
      </c>
      <c r="I37" s="46">
        <v>0</v>
      </c>
      <c r="J37" s="55">
        <v>33</v>
      </c>
    </row>
    <row r="38" spans="1:10" x14ac:dyDescent="0.25">
      <c r="A38" s="40"/>
      <c r="B38" s="37" t="s">
        <v>21</v>
      </c>
      <c r="C38" s="52" t="s">
        <v>24</v>
      </c>
      <c r="D38" s="49" t="s">
        <v>31</v>
      </c>
      <c r="E38" s="43">
        <v>37</v>
      </c>
      <c r="F38" s="46">
        <v>1.97</v>
      </c>
      <c r="G38" s="46">
        <v>76.959999999999994</v>
      </c>
      <c r="H38" s="46">
        <f>2.4*37/30</f>
        <v>2.96</v>
      </c>
      <c r="I38" s="46">
        <f>0.45*37/30</f>
        <v>0.55500000000000005</v>
      </c>
      <c r="J38" s="55">
        <f>11.37*37/30</f>
        <v>14.023</v>
      </c>
    </row>
    <row r="39" spans="1:10" ht="15.75" thickBot="1" x14ac:dyDescent="0.3">
      <c r="A39" s="41"/>
      <c r="B39" s="27" t="s">
        <v>18</v>
      </c>
      <c r="C39" s="53" t="s">
        <v>24</v>
      </c>
      <c r="D39" s="50" t="s">
        <v>25</v>
      </c>
      <c r="E39" s="44">
        <v>37</v>
      </c>
      <c r="F39" s="47">
        <v>1.5</v>
      </c>
      <c r="G39" s="47">
        <v>74</v>
      </c>
      <c r="H39" s="47">
        <f>1.47*37/30</f>
        <v>1.8129999999999999</v>
      </c>
      <c r="I39" s="47">
        <f>0.3*37/30</f>
        <v>0.37</v>
      </c>
      <c r="J39" s="56">
        <f>13.44*37/30</f>
        <v>16.576000000000001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19.05</vt:lpstr>
      <vt:lpstr>20.05</vt:lpstr>
      <vt:lpstr>21.05</vt:lpstr>
      <vt:lpstr>25.05</vt:lpstr>
      <vt:lpstr>26.05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beret</cp:lastModifiedBy>
  <cp:lastPrinted>2021-05-18T10:32:40Z</cp:lastPrinted>
  <dcterms:created xsi:type="dcterms:W3CDTF">2015-06-05T18:19:34Z</dcterms:created>
  <dcterms:modified xsi:type="dcterms:W3CDTF">2021-05-25T07:29:15Z</dcterms:modified>
</cp:coreProperties>
</file>